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borah Greene.DGreene\Desktop\"/>
    </mc:Choice>
  </mc:AlternateContent>
  <xr:revisionPtr revIDLastSave="0" documentId="8_{20D923F1-F644-4EAA-9B83-6ACA7EFA422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Sheet1!$A$1:$Q$343</definedName>
    <definedName name="_xlnm.Print_Titles" localSheetId="0">Sheet1!$4:$4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0" i="1" l="1"/>
  <c r="N190" i="1"/>
  <c r="L190" i="1"/>
  <c r="D13" i="1" l="1"/>
  <c r="D187" i="1"/>
  <c r="D188" i="1"/>
  <c r="D191" i="1"/>
  <c r="D189" i="1"/>
  <c r="B295" i="1" l="1"/>
  <c r="B287" i="1"/>
  <c r="B280" i="1"/>
  <c r="B279" i="1"/>
  <c r="B278" i="1"/>
  <c r="D248" i="1"/>
  <c r="D242" i="1"/>
  <c r="D238" i="1"/>
  <c r="D239" i="1"/>
  <c r="D233" i="1"/>
  <c r="D234" i="1"/>
  <c r="D170" i="1"/>
  <c r="J170" i="1"/>
  <c r="J178" i="1"/>
  <c r="D15" i="1" l="1"/>
  <c r="O256" i="1"/>
  <c r="O298" i="1"/>
  <c r="O297" i="1"/>
  <c r="N297" i="1"/>
  <c r="O245" i="1"/>
  <c r="O244" i="1"/>
  <c r="O221" i="1"/>
  <c r="O220" i="1"/>
  <c r="O184" i="1"/>
  <c r="O112" i="1"/>
  <c r="O105" i="1"/>
  <c r="O97" i="1"/>
  <c r="O95" i="1"/>
  <c r="N95" i="1"/>
  <c r="O94" i="1"/>
  <c r="N94" i="1"/>
  <c r="O73" i="1"/>
  <c r="O72" i="1"/>
  <c r="O24" i="1" l="1"/>
  <c r="O31" i="1"/>
  <c r="O45" i="1"/>
  <c r="O44" i="1"/>
  <c r="O40" i="1"/>
  <c r="O39" i="1"/>
  <c r="O37" i="1"/>
  <c r="O36" i="1"/>
  <c r="O35" i="1"/>
  <c r="O30" i="1"/>
  <c r="N256" i="1" l="1"/>
  <c r="E170" i="1" l="1"/>
  <c r="E178" i="1" l="1"/>
  <c r="F170" i="1"/>
  <c r="F178" i="1"/>
  <c r="D142" i="1"/>
  <c r="D71" i="1"/>
  <c r="C71" i="1"/>
  <c r="C152" i="1" l="1"/>
  <c r="C156" i="1" s="1"/>
  <c r="L153" i="1"/>
  <c r="N153" i="1" s="1"/>
  <c r="E176" i="1"/>
  <c r="L171" i="1"/>
  <c r="L172" i="1"/>
  <c r="N172" i="1" s="1"/>
  <c r="O172" i="1" s="1"/>
  <c r="L173" i="1"/>
  <c r="N173" i="1" s="1"/>
  <c r="O173" i="1" s="1"/>
  <c r="L174" i="1"/>
  <c r="N174" i="1" s="1"/>
  <c r="O174" i="1" s="1"/>
  <c r="L175" i="1"/>
  <c r="N175" i="1" s="1"/>
  <c r="O175" i="1" s="1"/>
  <c r="B185" i="1"/>
  <c r="C185" i="1"/>
  <c r="D185" i="1"/>
  <c r="E185" i="1"/>
  <c r="F185" i="1"/>
  <c r="G185" i="1"/>
  <c r="H185" i="1"/>
  <c r="I185" i="1"/>
  <c r="L184" i="1"/>
  <c r="N184" i="1" s="1"/>
  <c r="K185" i="1"/>
  <c r="L187" i="1"/>
  <c r="N187" i="1" s="1"/>
  <c r="L188" i="1"/>
  <c r="N188" i="1" s="1"/>
  <c r="O188" i="1" s="1"/>
  <c r="L189" i="1"/>
  <c r="N189" i="1" s="1"/>
  <c r="O189" i="1" s="1"/>
  <c r="L191" i="1"/>
  <c r="N191" i="1" s="1"/>
  <c r="O191" i="1" s="1"/>
  <c r="L61" i="1"/>
  <c r="N61" i="1" s="1"/>
  <c r="O61" i="1" s="1"/>
  <c r="L62" i="1"/>
  <c r="N62" i="1" s="1"/>
  <c r="O62" i="1" s="1"/>
  <c r="L64" i="1"/>
  <c r="N64" i="1" s="1"/>
  <c r="O64" i="1" s="1"/>
  <c r="L65" i="1"/>
  <c r="N65" i="1" s="1"/>
  <c r="O65" i="1" s="1"/>
  <c r="L66" i="1"/>
  <c r="N66" i="1" s="1"/>
  <c r="O66" i="1" s="1"/>
  <c r="L67" i="1"/>
  <c r="N67" i="1" s="1"/>
  <c r="O67" i="1" s="1"/>
  <c r="L70" i="1"/>
  <c r="N70" i="1" s="1"/>
  <c r="O70" i="1" s="1"/>
  <c r="L71" i="1"/>
  <c r="L72" i="1"/>
  <c r="N72" i="1" s="1"/>
  <c r="L73" i="1"/>
  <c r="N73" i="1" s="1"/>
  <c r="B146" i="1"/>
  <c r="C146" i="1"/>
  <c r="D146" i="1"/>
  <c r="E146" i="1"/>
  <c r="F146" i="1"/>
  <c r="G146" i="1"/>
  <c r="H146" i="1"/>
  <c r="I146" i="1"/>
  <c r="J146" i="1"/>
  <c r="K146" i="1"/>
  <c r="B329" i="1"/>
  <c r="B284" i="1"/>
  <c r="B289" i="1"/>
  <c r="B299" i="1"/>
  <c r="L232" i="1"/>
  <c r="N232" i="1" s="1"/>
  <c r="L233" i="1"/>
  <c r="L234" i="1"/>
  <c r="N234" i="1" s="1"/>
  <c r="O234" i="1" s="1"/>
  <c r="L237" i="1"/>
  <c r="N237" i="1" s="1"/>
  <c r="L239" i="1"/>
  <c r="N239" i="1" s="1"/>
  <c r="O239" i="1" s="1"/>
  <c r="L242" i="1"/>
  <c r="N242" i="1" s="1"/>
  <c r="L243" i="1"/>
  <c r="N243" i="1" s="1"/>
  <c r="O243" i="1" s="1"/>
  <c r="L244" i="1"/>
  <c r="N244" i="1" s="1"/>
  <c r="L245" i="1"/>
  <c r="N245" i="1" s="1"/>
  <c r="L248" i="1"/>
  <c r="N248" i="1" s="1"/>
  <c r="L249" i="1"/>
  <c r="N249" i="1" s="1"/>
  <c r="O249" i="1" s="1"/>
  <c r="L250" i="1"/>
  <c r="N250" i="1" s="1"/>
  <c r="O250" i="1" s="1"/>
  <c r="C109" i="1"/>
  <c r="L109" i="1" s="1"/>
  <c r="N109" i="1" s="1"/>
  <c r="O109" i="1" s="1"/>
  <c r="C54" i="1"/>
  <c r="I54" i="1"/>
  <c r="I58" i="1" s="1"/>
  <c r="I78" i="1" s="1"/>
  <c r="I57" i="1"/>
  <c r="C56" i="1"/>
  <c r="L56" i="1" s="1"/>
  <c r="N56" i="1" s="1"/>
  <c r="O56" i="1" s="1"/>
  <c r="C55" i="1"/>
  <c r="L55" i="1" s="1"/>
  <c r="N55" i="1" s="1"/>
  <c r="O55" i="1" s="1"/>
  <c r="B210" i="1"/>
  <c r="L210" i="1" s="1"/>
  <c r="N210" i="1" s="1"/>
  <c r="O210" i="1" s="1"/>
  <c r="B121" i="1"/>
  <c r="L121" i="1" s="1"/>
  <c r="N121" i="1" s="1"/>
  <c r="O121" i="1" s="1"/>
  <c r="C86" i="1"/>
  <c r="L86" i="1" s="1"/>
  <c r="N86" i="1" s="1"/>
  <c r="O86" i="1" s="1"/>
  <c r="R249" i="1"/>
  <c r="R248" i="1"/>
  <c r="L221" i="1"/>
  <c r="N221" i="1" s="1"/>
  <c r="R178" i="1"/>
  <c r="R170" i="1"/>
  <c r="G120" i="1"/>
  <c r="L120" i="1" s="1"/>
  <c r="N120" i="1" s="1"/>
  <c r="O120" i="1" s="1"/>
  <c r="C53" i="1"/>
  <c r="L53" i="1" s="1"/>
  <c r="N53" i="1" s="1"/>
  <c r="H54" i="1"/>
  <c r="H58" i="1" s="1"/>
  <c r="L283" i="1"/>
  <c r="N283" i="1" s="1"/>
  <c r="O283" i="1" s="1"/>
  <c r="L282" i="1"/>
  <c r="N282" i="1" s="1"/>
  <c r="O282" i="1" s="1"/>
  <c r="L279" i="1"/>
  <c r="N279" i="1" s="1"/>
  <c r="O279" i="1" s="1"/>
  <c r="L278" i="1"/>
  <c r="N278" i="1" s="1"/>
  <c r="O278" i="1" s="1"/>
  <c r="L281" i="1"/>
  <c r="N281" i="1" s="1"/>
  <c r="O281" i="1" s="1"/>
  <c r="L280" i="1"/>
  <c r="N280" i="1" s="1"/>
  <c r="O280" i="1" s="1"/>
  <c r="L205" i="1"/>
  <c r="N205" i="1" s="1"/>
  <c r="O205" i="1" s="1"/>
  <c r="L141" i="1"/>
  <c r="N141" i="1" s="1"/>
  <c r="O141" i="1" s="1"/>
  <c r="L7" i="1"/>
  <c r="N7" i="1" s="1"/>
  <c r="L8" i="1"/>
  <c r="N8" i="1" s="1"/>
  <c r="O8" i="1" s="1"/>
  <c r="L14" i="1"/>
  <c r="N14" i="1" s="1"/>
  <c r="O14" i="1" s="1"/>
  <c r="L15" i="1"/>
  <c r="L19" i="1"/>
  <c r="N19" i="1" s="1"/>
  <c r="L24" i="1"/>
  <c r="L30" i="1"/>
  <c r="N30" i="1" s="1"/>
  <c r="N32" i="1" s="1"/>
  <c r="L35" i="1"/>
  <c r="N35" i="1" s="1"/>
  <c r="L36" i="1"/>
  <c r="N36" i="1" s="1"/>
  <c r="L37" i="1"/>
  <c r="N37" i="1" s="1"/>
  <c r="L39" i="1"/>
  <c r="N39" i="1" s="1"/>
  <c r="L40" i="1"/>
  <c r="N40" i="1" s="1"/>
  <c r="L44" i="1"/>
  <c r="N44" i="1" s="1"/>
  <c r="L45" i="1"/>
  <c r="N45" i="1" s="1"/>
  <c r="L20" i="1"/>
  <c r="L31" i="1"/>
  <c r="L178" i="1"/>
  <c r="L57" i="1"/>
  <c r="N57" i="1" s="1"/>
  <c r="O57" i="1" s="1"/>
  <c r="L81" i="1"/>
  <c r="L82" i="1"/>
  <c r="N82" i="1" s="1"/>
  <c r="L83" i="1"/>
  <c r="N83" i="1" s="1"/>
  <c r="O83" i="1" s="1"/>
  <c r="L84" i="1"/>
  <c r="N84" i="1" s="1"/>
  <c r="O84" i="1" s="1"/>
  <c r="L85" i="1"/>
  <c r="N85" i="1" s="1"/>
  <c r="O85" i="1" s="1"/>
  <c r="L87" i="1"/>
  <c r="N87" i="1" s="1"/>
  <c r="O87" i="1" s="1"/>
  <c r="L88" i="1"/>
  <c r="N88" i="1" s="1"/>
  <c r="O88" i="1" s="1"/>
  <c r="L89" i="1"/>
  <c r="N89" i="1" s="1"/>
  <c r="O89" i="1" s="1"/>
  <c r="L90" i="1"/>
  <c r="N90" i="1" s="1"/>
  <c r="O90" i="1" s="1"/>
  <c r="L91" i="1"/>
  <c r="N91" i="1" s="1"/>
  <c r="O91" i="1" s="1"/>
  <c r="L92" i="1"/>
  <c r="N92" i="1" s="1"/>
  <c r="O92" i="1" s="1"/>
  <c r="L93" i="1"/>
  <c r="N93" i="1" s="1"/>
  <c r="O93" i="1" s="1"/>
  <c r="L96" i="1"/>
  <c r="N96" i="1" s="1"/>
  <c r="O96" i="1" s="1"/>
  <c r="L97" i="1"/>
  <c r="N97" i="1" s="1"/>
  <c r="L103" i="1"/>
  <c r="N103" i="1" s="1"/>
  <c r="O103" i="1" s="1"/>
  <c r="L104" i="1"/>
  <c r="N104" i="1" s="1"/>
  <c r="O104" i="1" s="1"/>
  <c r="L105" i="1"/>
  <c r="N105" i="1" s="1"/>
  <c r="L106" i="1"/>
  <c r="N106" i="1" s="1"/>
  <c r="O106" i="1" s="1"/>
  <c r="L107" i="1"/>
  <c r="N107" i="1" s="1"/>
  <c r="O107" i="1" s="1"/>
  <c r="L108" i="1"/>
  <c r="N108" i="1" s="1"/>
  <c r="O108" i="1" s="1"/>
  <c r="L110" i="1"/>
  <c r="N110" i="1" s="1"/>
  <c r="O110" i="1" s="1"/>
  <c r="L111" i="1"/>
  <c r="N111" i="1" s="1"/>
  <c r="O111" i="1" s="1"/>
  <c r="L112" i="1"/>
  <c r="N112" i="1" s="1"/>
  <c r="L119" i="1"/>
  <c r="N119" i="1" s="1"/>
  <c r="O119" i="1" s="1"/>
  <c r="L122" i="1"/>
  <c r="N122" i="1" s="1"/>
  <c r="O122" i="1" s="1"/>
  <c r="L123" i="1"/>
  <c r="N123" i="1" s="1"/>
  <c r="O123" i="1" s="1"/>
  <c r="L124" i="1"/>
  <c r="N124" i="1" s="1"/>
  <c r="O124" i="1" s="1"/>
  <c r="L125" i="1"/>
  <c r="N125" i="1" s="1"/>
  <c r="O125" i="1" s="1"/>
  <c r="L126" i="1"/>
  <c r="N126" i="1" s="1"/>
  <c r="O126" i="1" s="1"/>
  <c r="L127" i="1"/>
  <c r="N127" i="1" s="1"/>
  <c r="O127" i="1" s="1"/>
  <c r="L131" i="1"/>
  <c r="N131" i="1" s="1"/>
  <c r="O131" i="1" s="1"/>
  <c r="L132" i="1"/>
  <c r="N132" i="1" s="1"/>
  <c r="O132" i="1" s="1"/>
  <c r="L133" i="1"/>
  <c r="N133" i="1" s="1"/>
  <c r="O133" i="1" s="1"/>
  <c r="L134" i="1"/>
  <c r="N134" i="1" s="1"/>
  <c r="O134" i="1" s="1"/>
  <c r="L135" i="1"/>
  <c r="N135" i="1" s="1"/>
  <c r="O135" i="1" s="1"/>
  <c r="L136" i="1"/>
  <c r="N136" i="1" s="1"/>
  <c r="O136" i="1" s="1"/>
  <c r="L152" i="1"/>
  <c r="N152" i="1" s="1"/>
  <c r="L154" i="1"/>
  <c r="N154" i="1" s="1"/>
  <c r="O154" i="1" s="1"/>
  <c r="L155" i="1"/>
  <c r="L159" i="1"/>
  <c r="N159" i="1" s="1"/>
  <c r="L160" i="1"/>
  <c r="N160" i="1" s="1"/>
  <c r="O160" i="1" s="1"/>
  <c r="L161" i="1"/>
  <c r="N161" i="1" s="1"/>
  <c r="O161" i="1" s="1"/>
  <c r="L165" i="1"/>
  <c r="N165" i="1" s="1"/>
  <c r="L166" i="1"/>
  <c r="L200" i="1"/>
  <c r="N200" i="1" s="1"/>
  <c r="L201" i="1"/>
  <c r="N201" i="1" s="1"/>
  <c r="O201" i="1" s="1"/>
  <c r="L208" i="1"/>
  <c r="N208" i="1" s="1"/>
  <c r="L209" i="1"/>
  <c r="N209" i="1" s="1"/>
  <c r="O209" i="1" s="1"/>
  <c r="L211" i="1"/>
  <c r="N211" i="1" s="1"/>
  <c r="O211" i="1" s="1"/>
  <c r="L212" i="1"/>
  <c r="N212" i="1" s="1"/>
  <c r="O212" i="1" s="1"/>
  <c r="L213" i="1"/>
  <c r="N213" i="1" s="1"/>
  <c r="O213" i="1" s="1"/>
  <c r="L214" i="1"/>
  <c r="N214" i="1" s="1"/>
  <c r="O214" i="1" s="1"/>
  <c r="L215" i="1"/>
  <c r="N215" i="1" s="1"/>
  <c r="O215" i="1" s="1"/>
  <c r="L216" i="1"/>
  <c r="N216" i="1" s="1"/>
  <c r="O216" i="1" s="1"/>
  <c r="L217" i="1"/>
  <c r="N217" i="1" s="1"/>
  <c r="O217" i="1" s="1"/>
  <c r="L218" i="1"/>
  <c r="N218" i="1" s="1"/>
  <c r="O218" i="1" s="1"/>
  <c r="L219" i="1"/>
  <c r="N219" i="1" s="1"/>
  <c r="O219" i="1" s="1"/>
  <c r="L220" i="1"/>
  <c r="N220" i="1" s="1"/>
  <c r="L222" i="1"/>
  <c r="N222" i="1" s="1"/>
  <c r="O222" i="1" s="1"/>
  <c r="L226" i="1"/>
  <c r="N226" i="1" s="1"/>
  <c r="L227" i="1"/>
  <c r="N227" i="1" s="1"/>
  <c r="O227" i="1" s="1"/>
  <c r="L228" i="1"/>
  <c r="N228" i="1" s="1"/>
  <c r="O228" i="1" s="1"/>
  <c r="L256" i="1"/>
  <c r="L262" i="1"/>
  <c r="N262" i="1" s="1"/>
  <c r="L263" i="1"/>
  <c r="N263" i="1" s="1"/>
  <c r="O263" i="1" s="1"/>
  <c r="L264" i="1"/>
  <c r="N264" i="1" s="1"/>
  <c r="O264" i="1" s="1"/>
  <c r="L265" i="1"/>
  <c r="N265" i="1" s="1"/>
  <c r="O265" i="1" s="1"/>
  <c r="L269" i="1"/>
  <c r="N269" i="1" s="1"/>
  <c r="L270" i="1"/>
  <c r="N270" i="1" s="1"/>
  <c r="O270" i="1" s="1"/>
  <c r="B275" i="1"/>
  <c r="C275" i="1"/>
  <c r="D275" i="1"/>
  <c r="E275" i="1"/>
  <c r="F275" i="1"/>
  <c r="G275" i="1"/>
  <c r="H275" i="1"/>
  <c r="I275" i="1"/>
  <c r="J275" i="1"/>
  <c r="K275" i="1"/>
  <c r="L286" i="1"/>
  <c r="N286" i="1" s="1"/>
  <c r="L287" i="1"/>
  <c r="N287" i="1" s="1"/>
  <c r="O287" i="1" s="1"/>
  <c r="L288" i="1"/>
  <c r="N288" i="1" s="1"/>
  <c r="O288" i="1" s="1"/>
  <c r="L294" i="1"/>
  <c r="N294" i="1" s="1"/>
  <c r="L295" i="1"/>
  <c r="N295" i="1" s="1"/>
  <c r="L296" i="1"/>
  <c r="N296" i="1" s="1"/>
  <c r="O296" i="1" s="1"/>
  <c r="L298" i="1"/>
  <c r="N298" i="1" s="1"/>
  <c r="M284" i="1"/>
  <c r="M240" i="1"/>
  <c r="M235" i="1"/>
  <c r="L180" i="1"/>
  <c r="L183" i="1"/>
  <c r="N183" i="1" s="1"/>
  <c r="O183" i="1" s="1"/>
  <c r="L182" i="1"/>
  <c r="N182" i="1" s="1"/>
  <c r="O182" i="1" s="1"/>
  <c r="M192" i="1"/>
  <c r="M185" i="1"/>
  <c r="M74" i="1"/>
  <c r="L274" i="1"/>
  <c r="N274" i="1" s="1"/>
  <c r="L145" i="1"/>
  <c r="N145" i="1" s="1"/>
  <c r="O145" i="1" s="1"/>
  <c r="L144" i="1"/>
  <c r="N144" i="1" s="1"/>
  <c r="O144" i="1" s="1"/>
  <c r="L143" i="1"/>
  <c r="N143" i="1" s="1"/>
  <c r="O143" i="1" s="1"/>
  <c r="L142" i="1"/>
  <c r="N142" i="1" s="1"/>
  <c r="O142" i="1" s="1"/>
  <c r="P233" i="1"/>
  <c r="P235" i="1" s="1"/>
  <c r="P238" i="1"/>
  <c r="P240" i="1" s="1"/>
  <c r="P223" i="1"/>
  <c r="P229" i="1"/>
  <c r="P246" i="1"/>
  <c r="P251" i="1"/>
  <c r="P256" i="1"/>
  <c r="M223" i="1"/>
  <c r="M229" i="1"/>
  <c r="M246" i="1"/>
  <c r="M251" i="1"/>
  <c r="K223" i="1"/>
  <c r="K229" i="1"/>
  <c r="K235" i="1"/>
  <c r="K240" i="1"/>
  <c r="K246" i="1"/>
  <c r="K251" i="1"/>
  <c r="K256" i="1"/>
  <c r="J223" i="1"/>
  <c r="J229" i="1"/>
  <c r="J235" i="1"/>
  <c r="J240" i="1"/>
  <c r="J246" i="1"/>
  <c r="J251" i="1"/>
  <c r="J256" i="1"/>
  <c r="I223" i="1"/>
  <c r="I229" i="1"/>
  <c r="I235" i="1"/>
  <c r="I240" i="1"/>
  <c r="I246" i="1"/>
  <c r="I251" i="1"/>
  <c r="I256" i="1"/>
  <c r="H223" i="1"/>
  <c r="H229" i="1"/>
  <c r="H235" i="1"/>
  <c r="H240" i="1"/>
  <c r="H246" i="1"/>
  <c r="H251" i="1"/>
  <c r="H256" i="1"/>
  <c r="G223" i="1"/>
  <c r="G229" i="1"/>
  <c r="G235" i="1"/>
  <c r="G240" i="1"/>
  <c r="G246" i="1"/>
  <c r="G251" i="1"/>
  <c r="G256" i="1"/>
  <c r="F223" i="1"/>
  <c r="F229" i="1"/>
  <c r="F235" i="1"/>
  <c r="F240" i="1"/>
  <c r="F246" i="1"/>
  <c r="F251" i="1"/>
  <c r="F256" i="1"/>
  <c r="E223" i="1"/>
  <c r="E229" i="1"/>
  <c r="E235" i="1"/>
  <c r="E240" i="1"/>
  <c r="E246" i="1"/>
  <c r="E251" i="1"/>
  <c r="E256" i="1"/>
  <c r="D223" i="1"/>
  <c r="D229" i="1"/>
  <c r="D235" i="1"/>
  <c r="D246" i="1"/>
  <c r="D251" i="1"/>
  <c r="D256" i="1"/>
  <c r="C223" i="1"/>
  <c r="C229" i="1"/>
  <c r="C235" i="1"/>
  <c r="C240" i="1"/>
  <c r="C246" i="1"/>
  <c r="C251" i="1"/>
  <c r="C256" i="1"/>
  <c r="B229" i="1"/>
  <c r="B235" i="1"/>
  <c r="B240" i="1"/>
  <c r="B246" i="1"/>
  <c r="B251" i="1"/>
  <c r="B256" i="1"/>
  <c r="P178" i="1"/>
  <c r="P185" i="1" s="1"/>
  <c r="P170" i="1"/>
  <c r="P171" i="1"/>
  <c r="P187" i="1"/>
  <c r="P191" i="1"/>
  <c r="P156" i="1"/>
  <c r="P162" i="1"/>
  <c r="P167" i="1"/>
  <c r="M156" i="1"/>
  <c r="M162" i="1"/>
  <c r="M167" i="1"/>
  <c r="K156" i="1"/>
  <c r="K162" i="1"/>
  <c r="K167" i="1"/>
  <c r="K176" i="1"/>
  <c r="K192" i="1"/>
  <c r="K38" i="1" s="1"/>
  <c r="L38" i="1" s="1"/>
  <c r="N38" i="1" s="1"/>
  <c r="O38" i="1" s="1"/>
  <c r="J156" i="1"/>
  <c r="J162" i="1"/>
  <c r="J167" i="1"/>
  <c r="J176" i="1"/>
  <c r="J192" i="1"/>
  <c r="I156" i="1"/>
  <c r="I162" i="1"/>
  <c r="I167" i="1"/>
  <c r="I176" i="1"/>
  <c r="I192" i="1"/>
  <c r="H156" i="1"/>
  <c r="H162" i="1"/>
  <c r="H167" i="1"/>
  <c r="H176" i="1"/>
  <c r="H192" i="1"/>
  <c r="G156" i="1"/>
  <c r="G162" i="1"/>
  <c r="G167" i="1"/>
  <c r="G176" i="1"/>
  <c r="G192" i="1"/>
  <c r="F156" i="1"/>
  <c r="F162" i="1"/>
  <c r="F167" i="1"/>
  <c r="F176" i="1"/>
  <c r="F192" i="1"/>
  <c r="E156" i="1"/>
  <c r="E162" i="1"/>
  <c r="E167" i="1"/>
  <c r="E192" i="1"/>
  <c r="D156" i="1"/>
  <c r="D162" i="1"/>
  <c r="D167" i="1"/>
  <c r="D192" i="1"/>
  <c r="C162" i="1"/>
  <c r="B340" i="1" s="1"/>
  <c r="C167" i="1"/>
  <c r="C176" i="1"/>
  <c r="C192" i="1"/>
  <c r="B156" i="1"/>
  <c r="B162" i="1"/>
  <c r="B167" i="1"/>
  <c r="B176" i="1"/>
  <c r="B192" i="1"/>
  <c r="P9" i="1"/>
  <c r="P16" i="1"/>
  <c r="P21" i="1"/>
  <c r="P25" i="1"/>
  <c r="P27" i="1" s="1"/>
  <c r="P32" i="1"/>
  <c r="P41" i="1"/>
  <c r="P46" i="1"/>
  <c r="M9" i="1"/>
  <c r="M16" i="1"/>
  <c r="M21" i="1"/>
  <c r="M25" i="1"/>
  <c r="M32" i="1"/>
  <c r="O32" i="1" s="1"/>
  <c r="M41" i="1"/>
  <c r="M46" i="1"/>
  <c r="O46" i="1" s="1"/>
  <c r="K9" i="1"/>
  <c r="K16" i="1"/>
  <c r="K21" i="1"/>
  <c r="K25" i="1"/>
  <c r="K27" i="1" s="1"/>
  <c r="K32" i="1"/>
  <c r="K46" i="1"/>
  <c r="J9" i="1"/>
  <c r="J16" i="1"/>
  <c r="J21" i="1"/>
  <c r="J25" i="1"/>
  <c r="J27" i="1" s="1"/>
  <c r="J32" i="1"/>
  <c r="J41" i="1"/>
  <c r="J46" i="1"/>
  <c r="I9" i="1"/>
  <c r="I16" i="1"/>
  <c r="I21" i="1"/>
  <c r="I25" i="1"/>
  <c r="I27" i="1" s="1"/>
  <c r="I32" i="1"/>
  <c r="I41" i="1"/>
  <c r="I46" i="1"/>
  <c r="H9" i="1"/>
  <c r="H16" i="1"/>
  <c r="H21" i="1"/>
  <c r="H25" i="1"/>
  <c r="H27" i="1" s="1"/>
  <c r="H32" i="1"/>
  <c r="H41" i="1"/>
  <c r="H46" i="1"/>
  <c r="G9" i="1"/>
  <c r="G16" i="1"/>
  <c r="G21" i="1"/>
  <c r="G25" i="1"/>
  <c r="G27" i="1" s="1"/>
  <c r="G32" i="1"/>
  <c r="G41" i="1"/>
  <c r="G46" i="1"/>
  <c r="F9" i="1"/>
  <c r="F16" i="1"/>
  <c r="F21" i="1"/>
  <c r="F25" i="1"/>
  <c r="F27" i="1" s="1"/>
  <c r="F32" i="1"/>
  <c r="F41" i="1"/>
  <c r="F46" i="1"/>
  <c r="E9" i="1"/>
  <c r="E16" i="1"/>
  <c r="E21" i="1"/>
  <c r="E25" i="1"/>
  <c r="E27" i="1" s="1"/>
  <c r="E32" i="1"/>
  <c r="E41" i="1"/>
  <c r="E46" i="1"/>
  <c r="D9" i="1"/>
  <c r="D21" i="1"/>
  <c r="D25" i="1"/>
  <c r="D27" i="1" s="1"/>
  <c r="D32" i="1"/>
  <c r="D41" i="1"/>
  <c r="D46" i="1"/>
  <c r="C9" i="1"/>
  <c r="C16" i="1"/>
  <c r="C21" i="1"/>
  <c r="C25" i="1"/>
  <c r="C27" i="1" s="1"/>
  <c r="C32" i="1"/>
  <c r="C41" i="1"/>
  <c r="C46" i="1"/>
  <c r="B9" i="1"/>
  <c r="B16" i="1"/>
  <c r="B21" i="1"/>
  <c r="B25" i="1"/>
  <c r="B27" i="1" s="1"/>
  <c r="B32" i="1"/>
  <c r="B41" i="1"/>
  <c r="B46" i="1"/>
  <c r="A2" i="1"/>
  <c r="P310" i="1"/>
  <c r="M58" i="1"/>
  <c r="M68" i="1"/>
  <c r="M98" i="1"/>
  <c r="M113" i="1"/>
  <c r="M128" i="1"/>
  <c r="M137" i="1"/>
  <c r="M146" i="1"/>
  <c r="M202" i="1"/>
  <c r="M266" i="1"/>
  <c r="M271" i="1"/>
  <c r="M275" i="1"/>
  <c r="M289" i="1"/>
  <c r="M299" i="1"/>
  <c r="P54" i="1"/>
  <c r="P58" i="1" s="1"/>
  <c r="P68" i="1"/>
  <c r="P70" i="1"/>
  <c r="P74" i="1" s="1"/>
  <c r="P98" i="1"/>
  <c r="P113" i="1"/>
  <c r="P120" i="1"/>
  <c r="P137" i="1"/>
  <c r="P146" i="1"/>
  <c r="P202" i="1"/>
  <c r="P266" i="1"/>
  <c r="P271" i="1"/>
  <c r="P275" i="1"/>
  <c r="P283" i="1"/>
  <c r="P289" i="1"/>
  <c r="P299" i="1"/>
  <c r="C68" i="1"/>
  <c r="C74" i="1"/>
  <c r="C98" i="1"/>
  <c r="B338" i="1" s="1"/>
  <c r="C128" i="1"/>
  <c r="C137" i="1"/>
  <c r="I284" i="1"/>
  <c r="I289" i="1"/>
  <c r="I299" i="1"/>
  <c r="I271" i="1"/>
  <c r="I266" i="1"/>
  <c r="I202" i="1"/>
  <c r="I113" i="1"/>
  <c r="I128" i="1"/>
  <c r="I137" i="1"/>
  <c r="I68" i="1"/>
  <c r="I98" i="1"/>
  <c r="B266" i="1"/>
  <c r="B271" i="1"/>
  <c r="B58" i="1"/>
  <c r="B68" i="1"/>
  <c r="B74" i="1"/>
  <c r="B98" i="1"/>
  <c r="B113" i="1"/>
  <c r="B128" i="1"/>
  <c r="B137" i="1"/>
  <c r="B202" i="1"/>
  <c r="C284" i="1"/>
  <c r="C289" i="1"/>
  <c r="C299" i="1"/>
  <c r="C266" i="1"/>
  <c r="C271" i="1"/>
  <c r="C202" i="1"/>
  <c r="D284" i="1"/>
  <c r="D289" i="1"/>
  <c r="D299" i="1"/>
  <c r="D266" i="1"/>
  <c r="D271" i="1"/>
  <c r="D58" i="1"/>
  <c r="D74" i="1"/>
  <c r="D98" i="1"/>
  <c r="D113" i="1"/>
  <c r="D128" i="1"/>
  <c r="D137" i="1"/>
  <c r="D202" i="1"/>
  <c r="E284" i="1"/>
  <c r="E289" i="1"/>
  <c r="E299" i="1"/>
  <c r="E266" i="1"/>
  <c r="E271" i="1"/>
  <c r="E58" i="1"/>
  <c r="E68" i="1"/>
  <c r="E74" i="1"/>
  <c r="E98" i="1"/>
  <c r="E113" i="1"/>
  <c r="E128" i="1"/>
  <c r="E137" i="1"/>
  <c r="E202" i="1"/>
  <c r="F284" i="1"/>
  <c r="F289" i="1"/>
  <c r="F299" i="1"/>
  <c r="F266" i="1"/>
  <c r="F271" i="1"/>
  <c r="F58" i="1"/>
  <c r="F68" i="1"/>
  <c r="F74" i="1"/>
  <c r="F98" i="1"/>
  <c r="F113" i="1"/>
  <c r="F128" i="1"/>
  <c r="F137" i="1"/>
  <c r="F202" i="1"/>
  <c r="G284" i="1"/>
  <c r="G289" i="1"/>
  <c r="G299" i="1"/>
  <c r="G266" i="1"/>
  <c r="G271" i="1"/>
  <c r="G58" i="1"/>
  <c r="G68" i="1"/>
  <c r="G74" i="1"/>
  <c r="G98" i="1"/>
  <c r="G113" i="1"/>
  <c r="G137" i="1"/>
  <c r="G202" i="1"/>
  <c r="H284" i="1"/>
  <c r="H289" i="1"/>
  <c r="H299" i="1"/>
  <c r="H266" i="1"/>
  <c r="H271" i="1"/>
  <c r="H68" i="1"/>
  <c r="H74" i="1"/>
  <c r="H98" i="1"/>
  <c r="H113" i="1"/>
  <c r="H128" i="1"/>
  <c r="H137" i="1"/>
  <c r="H202" i="1"/>
  <c r="J284" i="1"/>
  <c r="J289" i="1"/>
  <c r="J299" i="1"/>
  <c r="J266" i="1"/>
  <c r="J271" i="1"/>
  <c r="J58" i="1"/>
  <c r="J68" i="1"/>
  <c r="J74" i="1"/>
  <c r="J98" i="1"/>
  <c r="J113" i="1"/>
  <c r="J128" i="1"/>
  <c r="J137" i="1"/>
  <c r="J202" i="1"/>
  <c r="K284" i="1"/>
  <c r="K289" i="1"/>
  <c r="K299" i="1"/>
  <c r="K266" i="1"/>
  <c r="K271" i="1"/>
  <c r="K58" i="1"/>
  <c r="K68" i="1"/>
  <c r="K74" i="1"/>
  <c r="K98" i="1"/>
  <c r="K113" i="1"/>
  <c r="K128" i="1"/>
  <c r="K137" i="1"/>
  <c r="K202" i="1"/>
  <c r="L130" i="1"/>
  <c r="K41" i="1" l="1"/>
  <c r="O226" i="1"/>
  <c r="N229" i="1"/>
  <c r="O229" i="1" s="1"/>
  <c r="L167" i="1"/>
  <c r="J181" i="1"/>
  <c r="L181" i="1" s="1"/>
  <c r="N181" i="1" s="1"/>
  <c r="O181" i="1" s="1"/>
  <c r="J179" i="1"/>
  <c r="O294" i="1"/>
  <c r="N299" i="1"/>
  <c r="O299" i="1" s="1"/>
  <c r="O286" i="1"/>
  <c r="N289" i="1"/>
  <c r="O289" i="1" s="1"/>
  <c r="O275" i="1"/>
  <c r="N167" i="1"/>
  <c r="O167" i="1" s="1"/>
  <c r="O165" i="1"/>
  <c r="O162" i="1"/>
  <c r="O9" i="1"/>
  <c r="M176" i="1"/>
  <c r="O82" i="1"/>
  <c r="N98" i="1"/>
  <c r="O98" i="1" s="1"/>
  <c r="O19" i="1"/>
  <c r="N21" i="1"/>
  <c r="O21" i="1" s="1"/>
  <c r="O7" i="1"/>
  <c r="N9" i="1"/>
  <c r="M27" i="1"/>
  <c r="O27" i="1" s="1"/>
  <c r="O25" i="1"/>
  <c r="O274" i="1"/>
  <c r="N275" i="1"/>
  <c r="O200" i="1"/>
  <c r="N202" i="1"/>
  <c r="O202" i="1" s="1"/>
  <c r="O152" i="1"/>
  <c r="N156" i="1"/>
  <c r="O156" i="1" s="1"/>
  <c r="N41" i="1"/>
  <c r="O41" i="1" s="1"/>
  <c r="B320" i="1"/>
  <c r="N15" i="1"/>
  <c r="O15" i="1" s="1"/>
  <c r="N284" i="1"/>
  <c r="O248" i="1"/>
  <c r="N251" i="1"/>
  <c r="O251" i="1" s="1"/>
  <c r="O242" i="1"/>
  <c r="N246" i="1"/>
  <c r="O246" i="1" s="1"/>
  <c r="N233" i="1"/>
  <c r="O233" i="1" s="1"/>
  <c r="O269" i="1"/>
  <c r="N271" i="1"/>
  <c r="O271" i="1" s="1"/>
  <c r="O262" i="1"/>
  <c r="N266" i="1"/>
  <c r="O266" i="1" s="1"/>
  <c r="O159" i="1"/>
  <c r="N162" i="1"/>
  <c r="N128" i="1"/>
  <c r="O128" i="1" s="1"/>
  <c r="O232" i="1"/>
  <c r="N180" i="1"/>
  <c r="O180" i="1" s="1"/>
  <c r="O208" i="1"/>
  <c r="N223" i="1"/>
  <c r="O223" i="1" s="1"/>
  <c r="N137" i="1"/>
  <c r="O137" i="1" s="1"/>
  <c r="N113" i="1"/>
  <c r="O113" i="1" s="1"/>
  <c r="N178" i="1"/>
  <c r="N46" i="1"/>
  <c r="L25" i="1"/>
  <c r="L27" i="1" s="1"/>
  <c r="N24" i="1"/>
  <c r="N25" i="1" s="1"/>
  <c r="N27" i="1" s="1"/>
  <c r="O53" i="1"/>
  <c r="O237" i="1"/>
  <c r="N71" i="1"/>
  <c r="N74" i="1" s="1"/>
  <c r="O74" i="1" s="1"/>
  <c r="O187" i="1"/>
  <c r="N192" i="1"/>
  <c r="O192" i="1" s="1"/>
  <c r="N171" i="1"/>
  <c r="O171" i="1" s="1"/>
  <c r="N146" i="1"/>
  <c r="O146" i="1" s="1"/>
  <c r="G128" i="1"/>
  <c r="G148" i="1" s="1"/>
  <c r="C113" i="1"/>
  <c r="P192" i="1"/>
  <c r="L54" i="1"/>
  <c r="B223" i="1"/>
  <c r="B319" i="1"/>
  <c r="C58" i="1"/>
  <c r="L202" i="1"/>
  <c r="C331" i="1" s="1"/>
  <c r="D331" i="1" s="1"/>
  <c r="L266" i="1"/>
  <c r="L113" i="1"/>
  <c r="L32" i="1"/>
  <c r="L137" i="1"/>
  <c r="L46" i="1"/>
  <c r="L21" i="1"/>
  <c r="J76" i="1"/>
  <c r="J78" i="1" s="1"/>
  <c r="E76" i="1"/>
  <c r="H194" i="1"/>
  <c r="H196" i="1" s="1"/>
  <c r="L299" i="1"/>
  <c r="L41" i="1"/>
  <c r="B322" i="1" s="1"/>
  <c r="L13" i="1"/>
  <c r="N13" i="1" s="1"/>
  <c r="O13" i="1" s="1"/>
  <c r="L74" i="1"/>
  <c r="L63" i="1"/>
  <c r="K301" i="1"/>
  <c r="K303" i="1" s="1"/>
  <c r="F301" i="1"/>
  <c r="F303" i="1" s="1"/>
  <c r="D68" i="1"/>
  <c r="D76" i="1" s="1"/>
  <c r="D78" i="1" s="1"/>
  <c r="P128" i="1"/>
  <c r="P148" i="1" s="1"/>
  <c r="D16" i="1"/>
  <c r="D48" i="1" s="1"/>
  <c r="D308" i="1" s="1"/>
  <c r="C194" i="1"/>
  <c r="C196" i="1" s="1"/>
  <c r="B341" i="1" s="1"/>
  <c r="I194" i="1"/>
  <c r="I196" i="1" s="1"/>
  <c r="B253" i="1"/>
  <c r="I253" i="1"/>
  <c r="I258" i="1" s="1"/>
  <c r="B321" i="1"/>
  <c r="B48" i="1"/>
  <c r="B308" i="1" s="1"/>
  <c r="F76" i="1"/>
  <c r="F78" i="1" s="1"/>
  <c r="K76" i="1"/>
  <c r="K78" i="1" s="1"/>
  <c r="G301" i="1"/>
  <c r="G303" i="1" s="1"/>
  <c r="I301" i="1"/>
  <c r="I303" i="1" s="1"/>
  <c r="B148" i="1"/>
  <c r="I148" i="1"/>
  <c r="J48" i="1"/>
  <c r="J308" i="1" s="1"/>
  <c r="H48" i="1"/>
  <c r="H308" i="1" s="1"/>
  <c r="H148" i="1"/>
  <c r="E78" i="1"/>
  <c r="H301" i="1"/>
  <c r="H303" i="1" s="1"/>
  <c r="G76" i="1"/>
  <c r="G78" i="1" s="1"/>
  <c r="C148" i="1"/>
  <c r="B339" i="1" s="1"/>
  <c r="G48" i="1"/>
  <c r="G308" i="1" s="1"/>
  <c r="G194" i="1"/>
  <c r="G196" i="1" s="1"/>
  <c r="J148" i="1"/>
  <c r="M301" i="1"/>
  <c r="E253" i="1"/>
  <c r="E258" i="1" s="1"/>
  <c r="B194" i="1"/>
  <c r="B196" i="1" s="1"/>
  <c r="F194" i="1"/>
  <c r="F196" i="1" s="1"/>
  <c r="J253" i="1"/>
  <c r="K253" i="1"/>
  <c r="K258" i="1" s="1"/>
  <c r="F253" i="1"/>
  <c r="G253" i="1"/>
  <c r="G258" i="1" s="1"/>
  <c r="H253" i="1"/>
  <c r="H258" i="1" s="1"/>
  <c r="M76" i="1"/>
  <c r="M78" i="1" s="1"/>
  <c r="B301" i="1"/>
  <c r="B330" i="1" s="1"/>
  <c r="L251" i="1"/>
  <c r="L246" i="1"/>
  <c r="L235" i="1"/>
  <c r="K194" i="1"/>
  <c r="K196" i="1" s="1"/>
  <c r="E194" i="1"/>
  <c r="E196" i="1" s="1"/>
  <c r="D148" i="1"/>
  <c r="C76" i="1"/>
  <c r="K48" i="1"/>
  <c r="K308" i="1" s="1"/>
  <c r="B316" i="1"/>
  <c r="F48" i="1"/>
  <c r="F308" i="1" s="1"/>
  <c r="P76" i="1"/>
  <c r="P78" i="1" s="1"/>
  <c r="C301" i="1"/>
  <c r="C303" i="1" s="1"/>
  <c r="L229" i="1"/>
  <c r="B76" i="1"/>
  <c r="B78" i="1" s="1"/>
  <c r="E48" i="1"/>
  <c r="E308" i="1" s="1"/>
  <c r="H76" i="1"/>
  <c r="H78" i="1" s="1"/>
  <c r="F148" i="1"/>
  <c r="E301" i="1"/>
  <c r="E303" i="1" s="1"/>
  <c r="K148" i="1"/>
  <c r="J301" i="1"/>
  <c r="J303" i="1" s="1"/>
  <c r="E148" i="1"/>
  <c r="D301" i="1"/>
  <c r="P284" i="1"/>
  <c r="M148" i="1"/>
  <c r="C48" i="1"/>
  <c r="C308" i="1" s="1"/>
  <c r="P48" i="1"/>
  <c r="P308" i="1" s="1"/>
  <c r="L9" i="1"/>
  <c r="B317" i="1"/>
  <c r="C253" i="1"/>
  <c r="C258" i="1" s="1"/>
  <c r="L275" i="1"/>
  <c r="L98" i="1"/>
  <c r="C329" i="1" s="1"/>
  <c r="D329" i="1" s="1"/>
  <c r="L146" i="1"/>
  <c r="B327" i="1" s="1"/>
  <c r="L170" i="1"/>
  <c r="N170" i="1" s="1"/>
  <c r="D176" i="1"/>
  <c r="D194" i="1" s="1"/>
  <c r="D196" i="1" s="1"/>
  <c r="I48" i="1"/>
  <c r="I308" i="1" s="1"/>
  <c r="P176" i="1"/>
  <c r="F258" i="1"/>
  <c r="J258" i="1"/>
  <c r="M253" i="1"/>
  <c r="L156" i="1"/>
  <c r="L284" i="1"/>
  <c r="L238" i="1"/>
  <c r="N238" i="1" s="1"/>
  <c r="O238" i="1" s="1"/>
  <c r="D240" i="1"/>
  <c r="P253" i="1"/>
  <c r="P258" i="1" s="1"/>
  <c r="L223" i="1"/>
  <c r="L162" i="1"/>
  <c r="L289" i="1"/>
  <c r="L271" i="1"/>
  <c r="L128" i="1"/>
  <c r="L192" i="1"/>
  <c r="N235" i="1" l="1"/>
  <c r="O235" i="1" s="1"/>
  <c r="L179" i="1"/>
  <c r="N179" i="1" s="1"/>
  <c r="O179" i="1" s="1"/>
  <c r="J185" i="1"/>
  <c r="O284" i="1"/>
  <c r="N301" i="1"/>
  <c r="N303" i="1" s="1"/>
  <c r="M303" i="1"/>
  <c r="N240" i="1"/>
  <c r="O240" i="1" s="1"/>
  <c r="M258" i="1"/>
  <c r="M194" i="1"/>
  <c r="O176" i="1"/>
  <c r="O71" i="1"/>
  <c r="O170" i="1"/>
  <c r="N176" i="1"/>
  <c r="N16" i="1"/>
  <c r="O16" i="1" s="1"/>
  <c r="M48" i="1"/>
  <c r="N148" i="1"/>
  <c r="O148" i="1" s="1"/>
  <c r="L68" i="1"/>
  <c r="L76" i="1" s="1"/>
  <c r="B326" i="1" s="1"/>
  <c r="N63" i="1"/>
  <c r="O63" i="1" s="1"/>
  <c r="L58" i="1"/>
  <c r="C326" i="1" s="1"/>
  <c r="N54" i="1"/>
  <c r="O178" i="1"/>
  <c r="N185" i="1"/>
  <c r="O185" i="1" s="1"/>
  <c r="P194" i="1"/>
  <c r="P196" i="1" s="1"/>
  <c r="C78" i="1"/>
  <c r="B337" i="1" s="1"/>
  <c r="B258" i="1"/>
  <c r="I305" i="1"/>
  <c r="I309" i="1" s="1"/>
  <c r="I311" i="1" s="1"/>
  <c r="D303" i="1"/>
  <c r="L301" i="1"/>
  <c r="L303" i="1" s="1"/>
  <c r="C330" i="1" s="1"/>
  <c r="D330" i="1" s="1"/>
  <c r="B318" i="1"/>
  <c r="L16" i="1"/>
  <c r="L48" i="1" s="1"/>
  <c r="L308" i="1" s="1"/>
  <c r="D253" i="1"/>
  <c r="G305" i="1"/>
  <c r="G309" i="1" s="1"/>
  <c r="G311" i="1" s="1"/>
  <c r="B303" i="1"/>
  <c r="B305" i="1" s="1"/>
  <c r="B309" i="1" s="1"/>
  <c r="B311" i="1" s="1"/>
  <c r="K305" i="1"/>
  <c r="K309" i="1" s="1"/>
  <c r="K311" i="1" s="1"/>
  <c r="E305" i="1"/>
  <c r="E309" i="1" s="1"/>
  <c r="E311" i="1" s="1"/>
  <c r="F305" i="1"/>
  <c r="F309" i="1" s="1"/>
  <c r="F311" i="1" s="1"/>
  <c r="L148" i="1"/>
  <c r="C327" i="1" s="1"/>
  <c r="D327" i="1" s="1"/>
  <c r="H305" i="1"/>
  <c r="H309" i="1" s="1"/>
  <c r="H311" i="1" s="1"/>
  <c r="B342" i="1"/>
  <c r="C337" i="1" s="1"/>
  <c r="L240" i="1"/>
  <c r="L253" i="1" s="1"/>
  <c r="B332" i="1" s="1"/>
  <c r="L176" i="1"/>
  <c r="P301" i="1"/>
  <c r="B323" i="1"/>
  <c r="C305" i="1" l="1"/>
  <c r="C309" i="1" s="1"/>
  <c r="C311" i="1" s="1"/>
  <c r="L185" i="1"/>
  <c r="L194" i="1" s="1"/>
  <c r="J194" i="1"/>
  <c r="J196" i="1" s="1"/>
  <c r="J305" i="1" s="1"/>
  <c r="J309" i="1" s="1"/>
  <c r="J311" i="1" s="1"/>
  <c r="O301" i="1"/>
  <c r="O303" i="1"/>
  <c r="N48" i="1"/>
  <c r="N308" i="1" s="1"/>
  <c r="N253" i="1"/>
  <c r="N258" i="1" s="1"/>
  <c r="O258" i="1" s="1"/>
  <c r="M196" i="1"/>
  <c r="M305" i="1" s="1"/>
  <c r="N68" i="1"/>
  <c r="N194" i="1"/>
  <c r="O194" i="1" s="1"/>
  <c r="M308" i="1"/>
  <c r="O54" i="1"/>
  <c r="N58" i="1"/>
  <c r="O58" i="1" s="1"/>
  <c r="L78" i="1"/>
  <c r="D258" i="1"/>
  <c r="C341" i="1"/>
  <c r="D326" i="1"/>
  <c r="C319" i="1"/>
  <c r="C318" i="1"/>
  <c r="C321" i="1"/>
  <c r="C320" i="1"/>
  <c r="C316" i="1"/>
  <c r="C323" i="1"/>
  <c r="C322" i="1"/>
  <c r="P303" i="1"/>
  <c r="C317" i="1"/>
  <c r="L258" i="1"/>
  <c r="C332" i="1" s="1"/>
  <c r="D332" i="1" s="1"/>
  <c r="C342" i="1"/>
  <c r="C338" i="1"/>
  <c r="C339" i="1"/>
  <c r="C340" i="1"/>
  <c r="O308" i="1" l="1"/>
  <c r="B328" i="1"/>
  <c r="B333" i="1" s="1"/>
  <c r="F328" i="1" s="1"/>
  <c r="L196" i="1"/>
  <c r="C328" i="1" s="1"/>
  <c r="D328" i="1" s="1"/>
  <c r="D333" i="1" s="1"/>
  <c r="E332" i="1" s="1"/>
  <c r="N76" i="1"/>
  <c r="O76" i="1" s="1"/>
  <c r="O68" i="1"/>
  <c r="O48" i="1"/>
  <c r="O253" i="1"/>
  <c r="L305" i="1"/>
  <c r="L309" i="1" s="1"/>
  <c r="L311" i="1" s="1"/>
  <c r="M309" i="1"/>
  <c r="N196" i="1"/>
  <c r="O196" i="1" s="1"/>
  <c r="D305" i="1"/>
  <c r="C333" i="1"/>
  <c r="P305" i="1"/>
  <c r="P309" i="1" s="1"/>
  <c r="F331" i="1"/>
  <c r="F329" i="1"/>
  <c r="F333" i="1"/>
  <c r="F327" i="1" l="1"/>
  <c r="F326" i="1"/>
  <c r="F332" i="1"/>
  <c r="F330" i="1"/>
  <c r="N78" i="1"/>
  <c r="O78" i="1" s="1"/>
  <c r="N305" i="1"/>
  <c r="M311" i="1"/>
  <c r="D309" i="1"/>
  <c r="E333" i="1"/>
  <c r="D334" i="1"/>
  <c r="E331" i="1"/>
  <c r="E330" i="1"/>
  <c r="E329" i="1"/>
  <c r="E327" i="1"/>
  <c r="P311" i="1"/>
  <c r="B334" i="1"/>
  <c r="E328" i="1"/>
  <c r="E326" i="1"/>
  <c r="C334" i="1"/>
  <c r="N309" i="1" l="1"/>
  <c r="O305" i="1"/>
  <c r="D311" i="1"/>
  <c r="N311" i="1" l="1"/>
  <c r="O311" i="1" s="1"/>
  <c r="O309" i="1"/>
</calcChain>
</file>

<file path=xl/sharedStrings.xml><?xml version="1.0" encoding="utf-8"?>
<sst xmlns="http://schemas.openxmlformats.org/spreadsheetml/2006/main" count="356" uniqueCount="325">
  <si>
    <t xml:space="preserve">01            Per
 Capita      </t>
  </si>
  <si>
    <t>04     General Trustees</t>
  </si>
  <si>
    <t>05
GA-Synod
Mission</t>
  </si>
  <si>
    <t>09
Reserves</t>
  </si>
  <si>
    <t>Income</t>
  </si>
  <si>
    <t>Presbytery Operating Income</t>
  </si>
  <si>
    <t>Per Capita Apportionment</t>
  </si>
  <si>
    <t>Shared Ministry Income</t>
  </si>
  <si>
    <t>Total Presbytery</t>
  </si>
  <si>
    <t>GA and Synod Mission Support</t>
  </si>
  <si>
    <t>GA Partnership(Holdback)</t>
  </si>
  <si>
    <t>Peacemaking-Presbytery Income</t>
  </si>
  <si>
    <t>Total GA and Synod Mission Support</t>
  </si>
  <si>
    <t>Other Directed Support</t>
  </si>
  <si>
    <t>Total Other Directed Support</t>
  </si>
  <si>
    <t>Total Directed Support</t>
  </si>
  <si>
    <t>Prior Year</t>
  </si>
  <si>
    <t>Per Capita - Prior Year</t>
  </si>
  <si>
    <t>Shared Ministry Inc-Prior Year</t>
  </si>
  <si>
    <t>Total Prior Year</t>
  </si>
  <si>
    <t>Reserves</t>
  </si>
  <si>
    <t>Shared Ministry Reserve</t>
  </si>
  <si>
    <t>The Center Reserve Income</t>
  </si>
  <si>
    <t>Per Capita Reserves</t>
  </si>
  <si>
    <t>Trustee/Staff Reserves</t>
  </si>
  <si>
    <t>Ministry Groups Reserves</t>
  </si>
  <si>
    <t>Other Reserve Income</t>
  </si>
  <si>
    <t>Total Reserves</t>
  </si>
  <si>
    <t>Other Income</t>
  </si>
  <si>
    <t>Bank Interest Income</t>
  </si>
  <si>
    <t>Total Other Income</t>
  </si>
  <si>
    <t>Total Income</t>
  </si>
  <si>
    <t>Expenses</t>
  </si>
  <si>
    <t>Commission on Thriving Congregations</t>
  </si>
  <si>
    <t>Commission Expenses</t>
  </si>
  <si>
    <t>NWC/Presbytery Fellowship Support</t>
  </si>
  <si>
    <t>Stewardship Support Team</t>
  </si>
  <si>
    <t>Disciple Development Team</t>
  </si>
  <si>
    <t>Congregational Redevelopment Team</t>
  </si>
  <si>
    <t>Staff Support</t>
  </si>
  <si>
    <t>WWW Min Group Staff Salary</t>
  </si>
  <si>
    <t>WWW Min Group Staff SECAOffset</t>
  </si>
  <si>
    <t>WWW Min Group Staff Travel</t>
  </si>
  <si>
    <t>WM Min Group Staff Professiona</t>
  </si>
  <si>
    <t>Total WWW MG Staff</t>
  </si>
  <si>
    <t>Total Staff Support</t>
  </si>
  <si>
    <t>Total Thriving Congregrations</t>
  </si>
  <si>
    <t>Ministry Groups</t>
  </si>
  <si>
    <t>MG Special Grants-Current Yr</t>
  </si>
  <si>
    <t>Wild Wild West Min Grp</t>
  </si>
  <si>
    <t>Wild Wild West Min Grp Conv</t>
  </si>
  <si>
    <t>West Side Story-Ministry Grp</t>
  </si>
  <si>
    <t>West Side-MinistryGrpConvener</t>
  </si>
  <si>
    <t>SusquehannaParish-Ministry Grp</t>
  </si>
  <si>
    <t>Susquehann-Mnstry Grp Convener</t>
  </si>
  <si>
    <t>Uptown-Ministry Grp</t>
  </si>
  <si>
    <t>Uptown-Ministry Grp Convener</t>
  </si>
  <si>
    <t>In the Loop-Ministry Grp</t>
  </si>
  <si>
    <t>In Loop-Ministry Grp Convener</t>
  </si>
  <si>
    <t>Bay Area Discipl-Ministry Grp</t>
  </si>
  <si>
    <t>Bay Area Dis-Min Grp Convener</t>
  </si>
  <si>
    <t>MG  Convener Activities</t>
  </si>
  <si>
    <t>MG Special Grants-Prior Yr</t>
  </si>
  <si>
    <t>Total Ministry Groups</t>
  </si>
  <si>
    <t>Commission on Spiritual Leadership Development</t>
  </si>
  <si>
    <t>SLD Commission Expenses</t>
  </si>
  <si>
    <t>Team Expense</t>
  </si>
  <si>
    <t>SLD Communications</t>
  </si>
  <si>
    <t>Youth Triennium</t>
  </si>
  <si>
    <t>Resource Center Materials</t>
  </si>
  <si>
    <t>Ministry of Teaching Elders</t>
  </si>
  <si>
    <t>Ministry of Other Congo Leaders</t>
  </si>
  <si>
    <t>Scholarship Expense</t>
  </si>
  <si>
    <t>Catawaba Camp Schol. Expense</t>
  </si>
  <si>
    <t>Total Commission Expenses</t>
  </si>
  <si>
    <t>Committee on Ministry</t>
  </si>
  <si>
    <t>COM TE Background Checks</t>
  </si>
  <si>
    <t>COM Committee Expenses</t>
  </si>
  <si>
    <t>Total COM</t>
  </si>
  <si>
    <t>CPM Candidate Assessment</t>
  </si>
  <si>
    <t>CPM Candidate Scholarships</t>
  </si>
  <si>
    <t>CPM Ordination Exams</t>
  </si>
  <si>
    <t>CPM CRE Assessment</t>
  </si>
  <si>
    <t>CPM CRE Scholarships</t>
  </si>
  <si>
    <t>CPM Committee Expense</t>
  </si>
  <si>
    <t>Total CPM</t>
  </si>
  <si>
    <t>Associate for Spiritual Leader Development</t>
  </si>
  <si>
    <t>Assoc SLD Contract</t>
  </si>
  <si>
    <t>Assoc SLD FICA</t>
  </si>
  <si>
    <t>Assoc SLD Continuing Education</t>
  </si>
  <si>
    <t>Assoc SLD Travel</t>
  </si>
  <si>
    <t>Assoc SLD Professional</t>
  </si>
  <si>
    <t>Total Assoc SLD</t>
  </si>
  <si>
    <t>Total Commission SLD</t>
  </si>
  <si>
    <t>Commission on Reconciliation</t>
  </si>
  <si>
    <t>Central MD Ecumenical Council</t>
  </si>
  <si>
    <t>Ecumenical Institute</t>
  </si>
  <si>
    <t>Baltimore City Ad Hoc Team</t>
  </si>
  <si>
    <t>Total Ecumenical Relations</t>
  </si>
  <si>
    <t>Mission Partnership Funds</t>
  </si>
  <si>
    <t>El Centro-Cuba Partnership</t>
  </si>
  <si>
    <t>Baltimore Dakota Partnership</t>
  </si>
  <si>
    <t>Guatemala Partnership</t>
  </si>
  <si>
    <t>Total Mission Partnership Funds</t>
  </si>
  <si>
    <t>Shared Witness</t>
  </si>
  <si>
    <t>Membershp Fees/Partnersip Sprt</t>
  </si>
  <si>
    <t>Advocacy Expense</t>
  </si>
  <si>
    <t>Total Shared Witness</t>
  </si>
  <si>
    <t>Total-Commission on Reconciliation</t>
  </si>
  <si>
    <t>GA &amp; Synod Giving</t>
  </si>
  <si>
    <t>General Assembly Per Capita</t>
  </si>
  <si>
    <t>Synod Per Capita Apportionment</t>
  </si>
  <si>
    <t>Total GA &amp; Synod Giving</t>
  </si>
  <si>
    <t>Administration Committee</t>
  </si>
  <si>
    <t>Rent-Faith Presbyterian Church</t>
  </si>
  <si>
    <t>Office Expense</t>
  </si>
  <si>
    <t>Equipment Lease</t>
  </si>
  <si>
    <t>Equipment Purchases</t>
  </si>
  <si>
    <t>Software</t>
  </si>
  <si>
    <t>Office Expenses</t>
  </si>
  <si>
    <t xml:space="preserve">Administration / Personnel </t>
  </si>
  <si>
    <t>Postage</t>
  </si>
  <si>
    <t>Payroll Service</t>
  </si>
  <si>
    <t>Telephone/Internet Access</t>
  </si>
  <si>
    <t>Insurance</t>
  </si>
  <si>
    <t>Audit and Legal Expense</t>
  </si>
  <si>
    <t>Staff Development</t>
  </si>
  <si>
    <t>Contractual Services</t>
  </si>
  <si>
    <t>Bank Services</t>
  </si>
  <si>
    <t>Total Office Expense</t>
  </si>
  <si>
    <t>Communications</t>
  </si>
  <si>
    <t>Print Communications</t>
  </si>
  <si>
    <t>Total Communications</t>
  </si>
  <si>
    <t>Dir of Communications Salary</t>
  </si>
  <si>
    <t>Dir of Communications Benefits</t>
  </si>
  <si>
    <t>Dir of Communications FICA</t>
  </si>
  <si>
    <t>Total Dir of Communications</t>
  </si>
  <si>
    <t>Dir Pres Events Salary</t>
  </si>
  <si>
    <t>Dir Pres Events Benefits</t>
  </si>
  <si>
    <t>Dir Pres Events FICA</t>
  </si>
  <si>
    <t>Total Dir Presby Events</t>
  </si>
  <si>
    <t>Dir Finance Salary</t>
  </si>
  <si>
    <t>Dir Finance Benefits</t>
  </si>
  <si>
    <t>Dir Finance FICA</t>
  </si>
  <si>
    <t>Total Dir Finance</t>
  </si>
  <si>
    <t>Total Admin Staff Support</t>
  </si>
  <si>
    <t>Temporary Staff</t>
  </si>
  <si>
    <t>Contract &amp; Temporary Services</t>
  </si>
  <si>
    <t>Total Administration Committee</t>
  </si>
  <si>
    <t>Presbytery and its Steering Cabinet</t>
  </si>
  <si>
    <t>Steering Cabinet Activities</t>
  </si>
  <si>
    <t>Steering Cabinet Expenses</t>
  </si>
  <si>
    <t>Steering Cabinet Consultants</t>
  </si>
  <si>
    <t>Moderator Expenses</t>
  </si>
  <si>
    <t>Administrative Commissions</t>
  </si>
  <si>
    <t>Total Steering Cabinet Activities</t>
  </si>
  <si>
    <t>Gathered Meetings</t>
  </si>
  <si>
    <t>Gathering Team</t>
  </si>
  <si>
    <t>Pastor Retreat</t>
  </si>
  <si>
    <t>Total Gathered Meeting Expense</t>
  </si>
  <si>
    <t xml:space="preserve">General Presbyter Salary </t>
  </si>
  <si>
    <t>General Presbyter Housing</t>
  </si>
  <si>
    <t>General Presbyter Benefits</t>
  </si>
  <si>
    <t>General Presbyter SECA Offset</t>
  </si>
  <si>
    <t>General Presbyter Cont Educ</t>
  </si>
  <si>
    <t>General Presbyter Professional</t>
  </si>
  <si>
    <t>Total General Presbyter</t>
  </si>
  <si>
    <t>Stated Clerk Salary</t>
  </si>
  <si>
    <t>Stated Clerk FICA</t>
  </si>
  <si>
    <t>Stated Clerk Travel</t>
  </si>
  <si>
    <t>Total Stated Clerk</t>
  </si>
  <si>
    <t>Total Presbytery and its Steering Cabinet</t>
  </si>
  <si>
    <t>Total Expenses</t>
  </si>
  <si>
    <t>Net Income</t>
  </si>
  <si>
    <t>Mary Louise Ellenberger Fund</t>
  </si>
  <si>
    <t>Partnerships</t>
  </si>
  <si>
    <t>Bay Area Dis.-NWC Grant</t>
  </si>
  <si>
    <t>Bay Area Dis.-Hispanic Ministry</t>
  </si>
  <si>
    <t>Committee on Preparation for Ministry</t>
  </si>
  <si>
    <t>11     Mission Abbott</t>
  </si>
  <si>
    <t>12     Urban Arlington</t>
  </si>
  <si>
    <t>13         COM Ord/Instal</t>
  </si>
  <si>
    <t>14        NCD Borgert</t>
  </si>
  <si>
    <t>02      Shared
Ministry</t>
  </si>
  <si>
    <t xml:space="preserve">15        Lakeland                      </t>
  </si>
  <si>
    <t>Reserve Adjustments</t>
  </si>
  <si>
    <t>Dir of Center Salary</t>
  </si>
  <si>
    <t>Dir of Center Pension</t>
  </si>
  <si>
    <t>Dir of Center Health</t>
  </si>
  <si>
    <t>Dir of Center Travel</t>
  </si>
  <si>
    <t>Dir of Center Professional</t>
  </si>
  <si>
    <t>Total Direcor of Center</t>
  </si>
  <si>
    <t>Dir of Center Cont Ed</t>
  </si>
  <si>
    <t xml:space="preserve">COLA </t>
  </si>
  <si>
    <t>COLA Expenses</t>
  </si>
  <si>
    <t>Total COLA Expense</t>
  </si>
  <si>
    <t xml:space="preserve">Total Commission </t>
  </si>
  <si>
    <t>Thriving Congregations</t>
  </si>
  <si>
    <t>Constitutional/Leadership</t>
  </si>
  <si>
    <t>Administration</t>
  </si>
  <si>
    <t>Personnel</t>
  </si>
  <si>
    <t>Total</t>
  </si>
  <si>
    <t>Spiritual Leadership Develop</t>
  </si>
  <si>
    <t>Program</t>
  </si>
  <si>
    <t>% Total</t>
  </si>
  <si>
    <t>Revenue Breakdown</t>
  </si>
  <si>
    <t>Per Capita</t>
  </si>
  <si>
    <t>Shared Ministry</t>
  </si>
  <si>
    <t>General Assembly</t>
  </si>
  <si>
    <t>Total Revenue</t>
  </si>
  <si>
    <t>$</t>
  </si>
  <si>
    <t>Expense Breakdown</t>
  </si>
  <si>
    <t>Shared Ministry Breakdown</t>
  </si>
  <si>
    <t>Other Reconciliation</t>
  </si>
  <si>
    <t>Total Shared Ministry</t>
  </si>
  <si>
    <t>Endowment Support</t>
  </si>
  <si>
    <t>Endowment Budget Support</t>
  </si>
  <si>
    <t>Total Endowment Support</t>
  </si>
  <si>
    <t>Dir of Center SECA Offset</t>
  </si>
  <si>
    <t>Deputy Stated Clerk Salary</t>
  </si>
  <si>
    <t>Deputy Stated Clerk Travel</t>
  </si>
  <si>
    <t>2017 Actual</t>
  </si>
  <si>
    <t>Depreciation</t>
  </si>
  <si>
    <t>Deputy Stated Clerk FICA</t>
  </si>
  <si>
    <t>ASC Stipend</t>
  </si>
  <si>
    <t>ASC Travel</t>
  </si>
  <si>
    <t>Total Dep/ Assoc Stated Clerk</t>
  </si>
  <si>
    <t>Trustee Non-Endow Support</t>
  </si>
  <si>
    <t>Inc./(Dec)</t>
  </si>
  <si>
    <t>Assumes 2018 Costs</t>
  </si>
  <si>
    <t>Notes</t>
  </si>
  <si>
    <t>ie:emerg. pulpit supply</t>
  </si>
  <si>
    <t>$3458 from TT, $1542 PC</t>
  </si>
  <si>
    <t>GBKP transition</t>
  </si>
  <si>
    <t>One annual event</t>
  </si>
  <si>
    <t>Training for COM ie:SMRT trainer</t>
  </si>
  <si>
    <t>Annual training/supple. With reserve $1500. Up in 2020</t>
  </si>
  <si>
    <t>Split w/church for clergy back.</t>
  </si>
  <si>
    <t>Meetings/Retreats</t>
  </si>
  <si>
    <t>Comm. Ruling Elder Sppt. Team</t>
  </si>
  <si>
    <t>% Inc/(Dec)</t>
  </si>
  <si>
    <t>New Website</t>
  </si>
  <si>
    <t>Slate Proj/BAD Hispanic outreach</t>
  </si>
  <si>
    <t>Conf./Workshops &amp; Training leaders</t>
  </si>
  <si>
    <t>Pigrim Prgm/Logos/Evang. Educ./Youth ministry</t>
  </si>
  <si>
    <t>Evals/Ministry Init./Repairs/Training</t>
  </si>
  <si>
    <t>6 Meetings @ $150 each</t>
  </si>
  <si>
    <t>Nets with Convener exp. for a 12.5% decrease from 2018</t>
  </si>
  <si>
    <t>Added Consults and retreats</t>
  </si>
  <si>
    <t>None used in past 2 years</t>
  </si>
  <si>
    <t>2017 used 2,575 and 2018 GA tbd. Training?</t>
  </si>
  <si>
    <t>2017 not used, 2018 GBK covered by late Rev. Peel pension</t>
  </si>
  <si>
    <t>Anti-Racism Train,Partner Chair Meetings,Other Misc.</t>
  </si>
  <si>
    <t>Nominal Ecumenical Support</t>
  </si>
  <si>
    <t>Hope Springs, DC Public Witness Office</t>
  </si>
  <si>
    <t>COM Assistance to Congregations</t>
  </si>
  <si>
    <t>COM Sexual Misconduct Rspns Team</t>
  </si>
  <si>
    <t>Endowment Budget Support Lakeland</t>
  </si>
  <si>
    <t>Trustee Non-Endow. Support of Finance Staff</t>
  </si>
  <si>
    <t>25% of Finance Admin. &amp; Bookkeeper Salary</t>
  </si>
  <si>
    <t>Support KFC &amp; DM Salaries</t>
  </si>
  <si>
    <t xml:space="preserve">MSSB Money Market &amp; BBT Savings </t>
  </si>
  <si>
    <t>Quarterly Snyder Foundation Inc. (2017 Audit entry)</t>
  </si>
  <si>
    <t>Dir Finance Salary TTY  Non Endowment</t>
  </si>
  <si>
    <t>Endowment Support - Lakeland</t>
  </si>
  <si>
    <t>Total Assoc for Congregational Vitality</t>
  </si>
  <si>
    <t>Assumes 11% pension, Med. Empl only &amp; Life .19%</t>
  </si>
  <si>
    <t>AMC Salary</t>
  </si>
  <si>
    <t>AMC Benefits</t>
  </si>
  <si>
    <t>AMC FICA</t>
  </si>
  <si>
    <t>AMC Continuing Education</t>
  </si>
  <si>
    <t>AMC Travel</t>
  </si>
  <si>
    <t>AMC Professional</t>
  </si>
  <si>
    <t>Total Assoc for Missional &amp; Community Engage.</t>
  </si>
  <si>
    <t>SJC Salary</t>
  </si>
  <si>
    <t>SJC Benefits</t>
  </si>
  <si>
    <t>SJC FICA</t>
  </si>
  <si>
    <t>SJC Travel/Profess.</t>
  </si>
  <si>
    <t>Total Social Justice Consultant</t>
  </si>
  <si>
    <t>Office Remodel 5 year Depr. From Trustees Reserves</t>
  </si>
  <si>
    <t>SK Salary 100% and Remodel Depreciation</t>
  </si>
  <si>
    <t>TTG Accountant Salary</t>
  </si>
  <si>
    <t>TTG Accountant Salary TTY Non-Endowment</t>
  </si>
  <si>
    <t>TTG Accountant FICA</t>
  </si>
  <si>
    <t>Total TTG Accountant</t>
  </si>
  <si>
    <t>Assumes 2018 costs</t>
  </si>
  <si>
    <t>13,487 2019 headcount @ 8.95</t>
  </si>
  <si>
    <t>13,487 2019 headcount @.85</t>
  </si>
  <si>
    <t>2019 Annual Budget</t>
  </si>
  <si>
    <t>Pers % Total</t>
  </si>
  <si>
    <t>Reconciliation (Incl. Director of Center Salary)</t>
  </si>
  <si>
    <t>Web Development/Support &amp; Commun.</t>
  </si>
  <si>
    <t>Equipment Maintenance/Tech Support</t>
  </si>
  <si>
    <t>MLE Fund in2019, from Sh. Mn. In  2020-2021</t>
  </si>
  <si>
    <t>COM Assistance to Ministers</t>
  </si>
  <si>
    <t>COM Extraordinary Assistance Grants</t>
  </si>
  <si>
    <t>COM Retired Minister Events</t>
  </si>
  <si>
    <t>COM Training</t>
  </si>
  <si>
    <t>COM CREST</t>
  </si>
  <si>
    <t>`</t>
  </si>
  <si>
    <t>2019 Dismantling Racism Training (MLB Reserve)</t>
  </si>
  <si>
    <t>2019 Headct. 13,487 GA-8.95,Syn-.85,POB 25.85+Cola .08=$35.73</t>
  </si>
  <si>
    <t>1.6% COL Increase</t>
  </si>
  <si>
    <t>Assumes COL increase 1.6%</t>
  </si>
  <si>
    <t>assumes 3% Incr. &amp; 1.6% COL</t>
  </si>
  <si>
    <t>5% Inc. &amp; 1.6% COL Inc.</t>
  </si>
  <si>
    <t>Decr. to 15 hrs. &amp; 1.6% COL Inc.</t>
  </si>
  <si>
    <t>Increase .35 and 1.6% COL</t>
  </si>
  <si>
    <t>5% Inc. &amp; 1.6% COL Increase</t>
  </si>
  <si>
    <t>2018 Annual Budget</t>
  </si>
  <si>
    <t xml:space="preserve">   * 3 year initiative</t>
  </si>
  <si>
    <r>
      <t>Dismantling Racism Training</t>
    </r>
    <r>
      <rPr>
        <sz val="10"/>
        <color rgb="FFFF0000"/>
        <rFont val="Times New Roman"/>
        <family val="1"/>
      </rPr>
      <t>*</t>
    </r>
  </si>
  <si>
    <t>2% Maximum COL Increase per MOU</t>
  </si>
  <si>
    <t>Missionite exp. now under CTC</t>
  </si>
  <si>
    <t>1.6% COL Increase on adj. Salary $17,436.00, due to inc. hours</t>
  </si>
  <si>
    <t>1.6% COL Increase on adj. Salary $16,094.88, due to inc. hours</t>
  </si>
  <si>
    <t>SJC Continuing Ed.</t>
  </si>
  <si>
    <t>ACV Salary</t>
  </si>
  <si>
    <t>ACV  Housing</t>
  </si>
  <si>
    <t>ACV Benefits</t>
  </si>
  <si>
    <t>ACV FICA</t>
  </si>
  <si>
    <t>ACV Continuing Education</t>
  </si>
  <si>
    <t>ACV Professional</t>
  </si>
  <si>
    <t>ACV Travel</t>
  </si>
  <si>
    <t>2019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</si>
</sst>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_);_(* \(#,##0\);_(* &quot;-&quot;??_);_(@_)"/>
  </numFmts>
  <fonts count="31" x14ac:knownFonts="1">
    <font>
      <sz val="11"/>
      <color rgb="FF000000"/>
      <name val="Calibri"/>
    </font>
    <font>
      <sz val="11"/>
      <color rgb="FF9C0006"/>
      <name val="Calibri"/>
      <family val="2"/>
      <scheme val="minor"/>
    </font>
    <font>
      <sz val="8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color rgb="FF000000"/>
      <name val="Calibri"/>
      <family val="2"/>
    </font>
    <font>
      <i/>
      <sz val="10"/>
      <color rgb="FFFF0000"/>
      <name val="Times New Roman"/>
      <family val="1"/>
    </font>
    <font>
      <b/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00B0F0"/>
      <name val="Times New Roman"/>
      <family val="1"/>
    </font>
    <font>
      <sz val="10"/>
      <color rgb="FF0070C0"/>
      <name val="Times New Roman"/>
      <family val="1"/>
    </font>
    <font>
      <sz val="11"/>
      <name val="Calibri"/>
      <family val="2"/>
    </font>
    <font>
      <b/>
      <sz val="11"/>
      <color rgb="FF0070C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2F2F2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7">
    <xf numFmtId="0" fontId="0" fillId="0" borderId="0" xfId="0" applyFont="1" applyAlignment="1"/>
    <xf numFmtId="49" fontId="3" fillId="0" borderId="0" xfId="0" applyNumberFormat="1" applyFont="1" applyAlignment="1">
      <alignment horizontal="center"/>
    </xf>
    <xf numFmtId="37" fontId="3" fillId="0" borderId="1" xfId="0" applyNumberFormat="1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/>
    <xf numFmtId="49" fontId="5" fillId="0" borderId="0" xfId="0" applyNumberFormat="1" applyFont="1" applyAlignment="1">
      <alignment horizontal="left"/>
    </xf>
    <xf numFmtId="41" fontId="5" fillId="0" borderId="0" xfId="0" applyNumberFormat="1" applyFont="1"/>
    <xf numFmtId="49" fontId="7" fillId="0" borderId="0" xfId="0" applyNumberFormat="1" applyFont="1" applyAlignment="1">
      <alignment horizontal="left"/>
    </xf>
    <xf numFmtId="41" fontId="3" fillId="0" borderId="0" xfId="0" applyNumberFormat="1" applyFont="1"/>
    <xf numFmtId="49" fontId="3" fillId="0" borderId="0" xfId="0" applyNumberFormat="1" applyFont="1" applyAlignment="1">
      <alignment horizontal="left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left"/>
    </xf>
    <xf numFmtId="41" fontId="9" fillId="0" borderId="2" xfId="0" applyNumberFormat="1" applyFont="1" applyBorder="1" applyAlignment="1">
      <alignment horizontal="right"/>
    </xf>
    <xf numFmtId="37" fontId="3" fillId="0" borderId="0" xfId="0" applyNumberFormat="1" applyFont="1"/>
    <xf numFmtId="49" fontId="10" fillId="0" borderId="0" xfId="0" applyNumberFormat="1" applyFont="1" applyAlignment="1">
      <alignment horizontal="left"/>
    </xf>
    <xf numFmtId="41" fontId="3" fillId="0" borderId="1" xfId="0" applyNumberFormat="1" applyFont="1" applyBorder="1" applyAlignment="1">
      <alignment horizontal="right"/>
    </xf>
    <xf numFmtId="41" fontId="9" fillId="0" borderId="2" xfId="0" applyNumberFormat="1" applyFont="1" applyBorder="1"/>
    <xf numFmtId="0" fontId="11" fillId="0" borderId="0" xfId="0" applyFont="1" applyAlignment="1"/>
    <xf numFmtId="49" fontId="12" fillId="0" borderId="0" xfId="0" applyNumberFormat="1" applyFont="1" applyAlignment="1">
      <alignment horizontal="left"/>
    </xf>
    <xf numFmtId="0" fontId="7" fillId="0" borderId="0" xfId="0" applyFont="1"/>
    <xf numFmtId="41" fontId="7" fillId="0" borderId="0" xfId="0" applyNumberFormat="1" applyFont="1" applyAlignment="1">
      <alignment horizontal="right"/>
    </xf>
    <xf numFmtId="41" fontId="10" fillId="0" borderId="0" xfId="0" applyNumberFormat="1" applyFont="1" applyAlignment="1">
      <alignment horizontal="right"/>
    </xf>
    <xf numFmtId="0" fontId="10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1" fontId="4" fillId="0" borderId="0" xfId="0" applyNumberFormat="1" applyFont="1" applyAlignment="1">
      <alignment horizontal="right"/>
    </xf>
    <xf numFmtId="41" fontId="13" fillId="0" borderId="0" xfId="0" applyNumberFormat="1" applyFont="1"/>
    <xf numFmtId="41" fontId="14" fillId="0" borderId="0" xfId="1" applyNumberFormat="1" applyFont="1" applyFill="1" applyAlignment="1">
      <alignment horizontal="right"/>
    </xf>
    <xf numFmtId="41" fontId="7" fillId="0" borderId="0" xfId="0" applyNumberFormat="1" applyFont="1"/>
    <xf numFmtId="0" fontId="9" fillId="0" borderId="0" xfId="0" applyFont="1"/>
    <xf numFmtId="41" fontId="9" fillId="0" borderId="0" xfId="0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9" fontId="18" fillId="0" borderId="0" xfId="0" applyNumberFormat="1" applyFont="1" applyAlignment="1">
      <alignment horizontal="left"/>
    </xf>
    <xf numFmtId="41" fontId="9" fillId="0" borderId="4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left"/>
    </xf>
    <xf numFmtId="49" fontId="19" fillId="0" borderId="0" xfId="0" applyNumberFormat="1" applyFont="1" applyAlignment="1">
      <alignment horizontal="right"/>
    </xf>
    <xf numFmtId="37" fontId="10" fillId="0" borderId="1" xfId="0" applyNumberFormat="1" applyFont="1" applyBorder="1" applyAlignment="1">
      <alignment horizontal="center" wrapText="1"/>
    </xf>
    <xf numFmtId="41" fontId="9" fillId="0" borderId="1" xfId="0" applyNumberFormat="1" applyFont="1" applyBorder="1"/>
    <xf numFmtId="41" fontId="3" fillId="0" borderId="5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37" fontId="2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41" fontId="20" fillId="0" borderId="0" xfId="0" applyNumberFormat="1" applyFont="1" applyAlignment="1">
      <alignment horizontal="right"/>
    </xf>
    <xf numFmtId="37" fontId="20" fillId="0" borderId="0" xfId="0" applyNumberFormat="1" applyFont="1"/>
    <xf numFmtId="37" fontId="3" fillId="0" borderId="5" xfId="0" applyNumberFormat="1" applyFont="1" applyBorder="1"/>
    <xf numFmtId="164" fontId="10" fillId="0" borderId="5" xfId="0" applyNumberFormat="1" applyFont="1" applyBorder="1" applyAlignment="1">
      <alignment horizontal="right"/>
    </xf>
    <xf numFmtId="43" fontId="4" fillId="0" borderId="0" xfId="0" applyNumberFormat="1" applyFont="1" applyAlignment="1"/>
    <xf numFmtId="41" fontId="3" fillId="4" borderId="0" xfId="0" applyNumberFormat="1" applyFont="1" applyFill="1" applyBorder="1"/>
    <xf numFmtId="41" fontId="15" fillId="4" borderId="0" xfId="0" applyNumberFormat="1" applyFont="1" applyFill="1" applyBorder="1"/>
    <xf numFmtId="41" fontId="9" fillId="4" borderId="2" xfId="0" applyNumberFormat="1" applyFont="1" applyFill="1" applyBorder="1" applyAlignment="1">
      <alignment horizontal="right"/>
    </xf>
    <xf numFmtId="41" fontId="7" fillId="4" borderId="0" xfId="0" applyNumberFormat="1" applyFont="1" applyFill="1" applyBorder="1"/>
    <xf numFmtId="41" fontId="6" fillId="4" borderId="0" xfId="0" applyNumberFormat="1" applyFont="1" applyFill="1" applyBorder="1"/>
    <xf numFmtId="41" fontId="8" fillId="4" borderId="0" xfId="0" applyNumberFormat="1" applyFont="1" applyFill="1" applyBorder="1"/>
    <xf numFmtId="41" fontId="9" fillId="4" borderId="0" xfId="0" applyNumberFormat="1" applyFont="1" applyFill="1" applyBorder="1" applyAlignment="1">
      <alignment horizontal="right"/>
    </xf>
    <xf numFmtId="41" fontId="17" fillId="4" borderId="0" xfId="0" applyNumberFormat="1" applyFont="1" applyFill="1" applyBorder="1"/>
    <xf numFmtId="0" fontId="4" fillId="4" borderId="0" xfId="0" applyFont="1" applyFill="1" applyAlignment="1"/>
    <xf numFmtId="41" fontId="9" fillId="4" borderId="2" xfId="0" applyNumberFormat="1" applyFont="1" applyFill="1" applyBorder="1"/>
    <xf numFmtId="41" fontId="9" fillId="4" borderId="4" xfId="0" applyNumberFormat="1" applyFont="1" applyFill="1" applyBorder="1" applyAlignment="1">
      <alignment horizontal="right"/>
    </xf>
    <xf numFmtId="0" fontId="4" fillId="4" borderId="0" xfId="0" applyFont="1" applyFill="1"/>
    <xf numFmtId="0" fontId="4" fillId="0" borderId="0" xfId="0" applyFont="1" applyFill="1" applyAlignment="1"/>
    <xf numFmtId="41" fontId="9" fillId="4" borderId="4" xfId="0" applyNumberFormat="1" applyFont="1" applyFill="1" applyBorder="1"/>
    <xf numFmtId="37" fontId="3" fillId="0" borderId="0" xfId="0" applyNumberFormat="1" applyFont="1" applyFill="1"/>
    <xf numFmtId="0" fontId="4" fillId="0" borderId="0" xfId="0" applyFont="1" applyFill="1"/>
    <xf numFmtId="49" fontId="20" fillId="0" borderId="0" xfId="0" applyNumberFormat="1" applyFont="1" applyAlignment="1">
      <alignment horizontal="left"/>
    </xf>
    <xf numFmtId="0" fontId="11" fillId="0" borderId="0" xfId="0" applyFont="1" applyFill="1" applyAlignment="1"/>
    <xf numFmtId="0" fontId="0" fillId="0" borderId="0" xfId="0" quotePrefix="1" applyFont="1" applyFill="1" applyAlignment="1"/>
    <xf numFmtId="0" fontId="0" fillId="0" borderId="0" xfId="0" applyFont="1" applyFill="1" applyAlignment="1"/>
    <xf numFmtId="9" fontId="4" fillId="0" borderId="0" xfId="2" applyFont="1" applyFill="1" applyAlignment="1"/>
    <xf numFmtId="9" fontId="4" fillId="0" borderId="0" xfId="2" applyFont="1" applyFill="1" applyBorder="1" applyAlignment="1"/>
    <xf numFmtId="37" fontId="10" fillId="4" borderId="5" xfId="0" applyNumberFormat="1" applyFont="1" applyFill="1" applyBorder="1" applyAlignment="1">
      <alignment horizontal="center" wrapText="1"/>
    </xf>
    <xf numFmtId="0" fontId="22" fillId="0" borderId="0" xfId="0" applyFont="1" applyFill="1" applyAlignment="1"/>
    <xf numFmtId="41" fontId="4" fillId="0" borderId="0" xfId="3" applyFont="1" applyFill="1" applyAlignment="1"/>
    <xf numFmtId="41" fontId="10" fillId="4" borderId="0" xfId="0" applyNumberFormat="1" applyFont="1" applyFill="1" applyBorder="1" applyAlignment="1">
      <alignment horizontal="right"/>
    </xf>
    <xf numFmtId="41" fontId="10" fillId="4" borderId="0" xfId="0" applyNumberFormat="1" applyFont="1" applyFill="1" applyBorder="1"/>
    <xf numFmtId="41" fontId="10" fillId="0" borderId="2" xfId="0" applyNumberFormat="1" applyFont="1" applyBorder="1" applyAlignment="1">
      <alignment horizontal="right"/>
    </xf>
    <xf numFmtId="41" fontId="10" fillId="4" borderId="4" xfId="0" applyNumberFormat="1" applyFont="1" applyFill="1" applyBorder="1" applyAlignment="1">
      <alignment horizontal="right"/>
    </xf>
    <xf numFmtId="41" fontId="10" fillId="4" borderId="2" xfId="0" applyNumberFormat="1" applyFont="1" applyFill="1" applyBorder="1" applyAlignment="1">
      <alignment horizontal="right"/>
    </xf>
    <xf numFmtId="41" fontId="20" fillId="0" borderId="2" xfId="0" applyNumberFormat="1" applyFont="1" applyBorder="1" applyAlignment="1">
      <alignment horizontal="right"/>
    </xf>
    <xf numFmtId="41" fontId="20" fillId="4" borderId="2" xfId="0" applyNumberFormat="1" applyFont="1" applyFill="1" applyBorder="1" applyAlignment="1">
      <alignment horizontal="right"/>
    </xf>
    <xf numFmtId="41" fontId="10" fillId="4" borderId="4" xfId="0" applyNumberFormat="1" applyFont="1" applyFill="1" applyBorder="1"/>
    <xf numFmtId="41" fontId="20" fillId="4" borderId="4" xfId="0" applyNumberFormat="1" applyFont="1" applyFill="1" applyBorder="1" applyAlignment="1">
      <alignment horizontal="right"/>
    </xf>
    <xf numFmtId="41" fontId="10" fillId="0" borderId="2" xfId="0" applyNumberFormat="1" applyFont="1" applyBorder="1"/>
    <xf numFmtId="41" fontId="10" fillId="4" borderId="2" xfId="0" applyNumberFormat="1" applyFont="1" applyFill="1" applyBorder="1"/>
    <xf numFmtId="41" fontId="10" fillId="0" borderId="2" xfId="0" applyNumberFormat="1" applyFont="1" applyFill="1" applyBorder="1" applyAlignment="1">
      <alignment horizontal="right"/>
    </xf>
    <xf numFmtId="41" fontId="10" fillId="5" borderId="2" xfId="0" applyNumberFormat="1" applyFont="1" applyFill="1" applyBorder="1" applyAlignment="1">
      <alignment horizontal="right"/>
    </xf>
    <xf numFmtId="41" fontId="10" fillId="5" borderId="4" xfId="0" applyNumberFormat="1" applyFont="1" applyFill="1" applyBorder="1" applyAlignment="1">
      <alignment horizontal="right"/>
    </xf>
    <xf numFmtId="41" fontId="10" fillId="0" borderId="0" xfId="0" applyNumberFormat="1" applyFont="1"/>
    <xf numFmtId="41" fontId="10" fillId="0" borderId="4" xfId="0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10" fillId="4" borderId="1" xfId="0" applyNumberFormat="1" applyFont="1" applyFill="1" applyBorder="1"/>
    <xf numFmtId="41" fontId="10" fillId="4" borderId="1" xfId="0" applyNumberFormat="1" applyFont="1" applyFill="1" applyBorder="1" applyAlignment="1">
      <alignment horizontal="right"/>
    </xf>
    <xf numFmtId="41" fontId="10" fillId="4" borderId="2" xfId="3" applyFont="1" applyFill="1" applyBorder="1" applyAlignment="1">
      <alignment horizontal="right"/>
    </xf>
    <xf numFmtId="41" fontId="11" fillId="0" borderId="0" xfId="3" applyFont="1" applyFill="1" applyBorder="1" applyAlignment="1"/>
    <xf numFmtId="41" fontId="10" fillId="4" borderId="0" xfId="0" applyNumberFormat="1" applyFont="1" applyFill="1" applyAlignment="1">
      <alignment horizontal="right"/>
    </xf>
    <xf numFmtId="41" fontId="24" fillId="0" borderId="0" xfId="0" applyNumberFormat="1" applyFont="1" applyAlignment="1">
      <alignment horizontal="right"/>
    </xf>
    <xf numFmtId="41" fontId="25" fillId="0" borderId="0" xfId="0" applyNumberFormat="1" applyFont="1" applyAlignment="1">
      <alignment horizontal="right"/>
    </xf>
    <xf numFmtId="41" fontId="25" fillId="0" borderId="0" xfId="0" applyNumberFormat="1" applyFont="1" applyBorder="1" applyAlignment="1">
      <alignment horizontal="right"/>
    </xf>
    <xf numFmtId="41" fontId="25" fillId="0" borderId="0" xfId="0" applyNumberFormat="1" applyFont="1"/>
    <xf numFmtId="41" fontId="25" fillId="0" borderId="0" xfId="0" applyNumberFormat="1" applyFont="1" applyBorder="1"/>
    <xf numFmtId="41" fontId="9" fillId="0" borderId="4" xfId="0" applyNumberFormat="1" applyFont="1" applyBorder="1"/>
    <xf numFmtId="41" fontId="8" fillId="0" borderId="0" xfId="0" applyNumberFormat="1" applyFont="1" applyAlignment="1">
      <alignment horizontal="right"/>
    </xf>
    <xf numFmtId="0" fontId="26" fillId="0" borderId="0" xfId="0" applyFont="1" applyFill="1" applyAlignment="1"/>
    <xf numFmtId="49" fontId="27" fillId="0" borderId="0" xfId="0" quotePrefix="1" applyNumberFormat="1" applyFont="1" applyAlignment="1">
      <alignment horizontal="left"/>
    </xf>
    <xf numFmtId="49" fontId="22" fillId="0" borderId="0" xfId="0" applyNumberFormat="1" applyFont="1" applyAlignment="1"/>
    <xf numFmtId="0" fontId="26" fillId="0" borderId="5" xfId="0" applyFont="1" applyFill="1" applyBorder="1" applyAlignment="1">
      <alignment horizontal="center"/>
    </xf>
    <xf numFmtId="41" fontId="4" fillId="0" borderId="0" xfId="3" applyFont="1" applyFill="1" applyBorder="1" applyAlignment="1"/>
    <xf numFmtId="49" fontId="15" fillId="0" borderId="0" xfId="0" applyNumberFormat="1" applyFont="1" applyAlignment="1">
      <alignment horizontal="left"/>
    </xf>
    <xf numFmtId="41" fontId="15" fillId="0" borderId="0" xfId="0" applyNumberFormat="1" applyFont="1" applyAlignment="1">
      <alignment horizontal="right"/>
    </xf>
    <xf numFmtId="41" fontId="15" fillId="0" borderId="0" xfId="0" applyNumberFormat="1" applyFont="1"/>
    <xf numFmtId="41" fontId="15" fillId="0" borderId="0" xfId="0" applyNumberFormat="1" applyFont="1" applyBorder="1" applyAlignment="1">
      <alignment horizontal="right"/>
    </xf>
    <xf numFmtId="41" fontId="15" fillId="0" borderId="0" xfId="0" applyNumberFormat="1" applyFont="1" applyBorder="1"/>
    <xf numFmtId="41" fontId="15" fillId="0" borderId="1" xfId="0" applyNumberFormat="1" applyFont="1" applyBorder="1" applyAlignment="1">
      <alignment horizontal="right"/>
    </xf>
    <xf numFmtId="41" fontId="15" fillId="0" borderId="2" xfId="0" applyNumberFormat="1" applyFont="1" applyBorder="1" applyAlignment="1">
      <alignment horizontal="right"/>
    </xf>
    <xf numFmtId="41" fontId="15" fillId="0" borderId="0" xfId="0" applyNumberFormat="1" applyFont="1" applyFill="1" applyAlignment="1">
      <alignment horizontal="right"/>
    </xf>
    <xf numFmtId="41" fontId="15" fillId="0" borderId="0" xfId="0" applyNumberFormat="1" applyFont="1" applyFill="1" applyBorder="1" applyAlignment="1">
      <alignment horizontal="right"/>
    </xf>
    <xf numFmtId="41" fontId="15" fillId="0" borderId="0" xfId="1" applyNumberFormat="1" applyFont="1" applyFill="1" applyAlignment="1">
      <alignment horizontal="right"/>
    </xf>
    <xf numFmtId="41" fontId="28" fillId="0" borderId="2" xfId="0" applyNumberFormat="1" applyFont="1" applyBorder="1"/>
    <xf numFmtId="41" fontId="29" fillId="0" borderId="0" xfId="0" applyNumberFormat="1" applyFont="1"/>
    <xf numFmtId="0" fontId="15" fillId="0" borderId="0" xfId="0" applyFont="1" applyFill="1"/>
    <xf numFmtId="164" fontId="15" fillId="0" borderId="0" xfId="0" applyNumberFormat="1" applyFont="1" applyFill="1" applyAlignment="1">
      <alignment horizontal="right"/>
    </xf>
    <xf numFmtId="9" fontId="15" fillId="0" borderId="0" xfId="2" applyFont="1" applyFill="1"/>
    <xf numFmtId="37" fontId="15" fillId="0" borderId="0" xfId="0" applyNumberFormat="1" applyFont="1" applyFill="1"/>
    <xf numFmtId="37" fontId="15" fillId="0" borderId="0" xfId="0" applyNumberFormat="1" applyFont="1" applyFill="1" applyBorder="1"/>
    <xf numFmtId="41" fontId="26" fillId="0" borderId="0" xfId="3" applyFont="1" applyFill="1" applyAlignment="1"/>
    <xf numFmtId="9" fontId="26" fillId="0" borderId="0" xfId="2" applyFont="1" applyFill="1" applyAlignment="1"/>
    <xf numFmtId="37" fontId="3" fillId="4" borderId="5" xfId="0" applyNumberFormat="1" applyFont="1" applyFill="1" applyBorder="1" applyAlignment="1">
      <alignment horizontal="center" wrapText="1"/>
    </xf>
    <xf numFmtId="0" fontId="8" fillId="0" borderId="0" xfId="0" applyFont="1"/>
    <xf numFmtId="41" fontId="10" fillId="0" borderId="0" xfId="0" applyNumberFormat="1" applyFont="1" applyFill="1" applyBorder="1" applyAlignment="1">
      <alignment horizontal="right"/>
    </xf>
    <xf numFmtId="37" fontId="8" fillId="4" borderId="5" xfId="0" applyNumberFormat="1" applyFont="1" applyFill="1" applyBorder="1" applyAlignment="1">
      <alignment horizontal="center" wrapText="1"/>
    </xf>
    <xf numFmtId="9" fontId="8" fillId="4" borderId="5" xfId="2" applyFont="1" applyFill="1" applyBorder="1" applyAlignment="1">
      <alignment horizontal="center" wrapText="1"/>
    </xf>
    <xf numFmtId="165" fontId="4" fillId="4" borderId="0" xfId="4" applyNumberFormat="1" applyFont="1" applyFill="1" applyAlignment="1"/>
    <xf numFmtId="9" fontId="4" fillId="4" borderId="0" xfId="2" applyFont="1" applyFill="1" applyAlignment="1"/>
    <xf numFmtId="165" fontId="10" fillId="4" borderId="2" xfId="4" applyNumberFormat="1" applyFont="1" applyFill="1" applyBorder="1" applyAlignment="1">
      <alignment horizontal="right"/>
    </xf>
    <xf numFmtId="9" fontId="4" fillId="4" borderId="4" xfId="2" applyFont="1" applyFill="1" applyBorder="1" applyAlignment="1"/>
    <xf numFmtId="165" fontId="4" fillId="4" borderId="4" xfId="4" applyNumberFormat="1" applyFont="1" applyFill="1" applyBorder="1" applyAlignment="1"/>
    <xf numFmtId="41" fontId="4" fillId="4" borderId="4" xfId="3" applyFont="1" applyFill="1" applyBorder="1" applyAlignment="1"/>
    <xf numFmtId="41" fontId="4" fillId="4" borderId="0" xfId="3" applyFont="1" applyFill="1" applyAlignment="1"/>
    <xf numFmtId="41" fontId="10" fillId="4" borderId="2" xfId="3" applyFont="1" applyFill="1" applyBorder="1"/>
    <xf numFmtId="41" fontId="11" fillId="4" borderId="0" xfId="3" applyFont="1" applyFill="1" applyAlignment="1"/>
    <xf numFmtId="9" fontId="11" fillId="4" borderId="0" xfId="2" applyFont="1" applyFill="1" applyAlignment="1"/>
    <xf numFmtId="41" fontId="4" fillId="4" borderId="0" xfId="3" applyFont="1" applyFill="1" applyBorder="1" applyAlignment="1"/>
    <xf numFmtId="9" fontId="4" fillId="4" borderId="0" xfId="2" applyFont="1" applyFill="1" applyBorder="1" applyAlignment="1"/>
    <xf numFmtId="41" fontId="9" fillId="4" borderId="2" xfId="3" applyFont="1" applyFill="1" applyBorder="1" applyAlignment="1">
      <alignment horizontal="right"/>
    </xf>
    <xf numFmtId="41" fontId="9" fillId="4" borderId="4" xfId="3" applyFont="1" applyFill="1" applyBorder="1"/>
    <xf numFmtId="41" fontId="16" fillId="4" borderId="0" xfId="3" applyFont="1" applyFill="1"/>
    <xf numFmtId="9" fontId="16" fillId="4" borderId="0" xfId="2" applyFont="1" applyFill="1"/>
    <xf numFmtId="41" fontId="11" fillId="4" borderId="4" xfId="3" applyFont="1" applyFill="1" applyBorder="1" applyAlignment="1"/>
    <xf numFmtId="41" fontId="10" fillId="0" borderId="6" xfId="0" applyNumberFormat="1" applyFont="1" applyBorder="1" applyAlignment="1">
      <alignment horizontal="right"/>
    </xf>
    <xf numFmtId="41" fontId="10" fillId="4" borderId="6" xfId="0" applyNumberFormat="1" applyFont="1" applyFill="1" applyBorder="1" applyAlignment="1">
      <alignment horizontal="right"/>
    </xf>
    <xf numFmtId="9" fontId="4" fillId="4" borderId="6" xfId="2" applyFont="1" applyFill="1" applyBorder="1" applyAlignment="1"/>
    <xf numFmtId="49" fontId="5" fillId="0" borderId="0" xfId="0" applyNumberFormat="1" applyFont="1" applyFill="1" applyAlignment="1">
      <alignment horizontal="left"/>
    </xf>
    <xf numFmtId="41" fontId="10" fillId="0" borderId="2" xfId="0" applyNumberFormat="1" applyFont="1" applyFill="1" applyBorder="1"/>
    <xf numFmtId="49" fontId="9" fillId="0" borderId="0" xfId="0" applyNumberFormat="1" applyFont="1" applyFill="1" applyAlignment="1">
      <alignment horizontal="left"/>
    </xf>
    <xf numFmtId="49" fontId="10" fillId="0" borderId="0" xfId="0" applyNumberFormat="1" applyFont="1" applyFill="1" applyAlignment="1">
      <alignment horizontal="left"/>
    </xf>
    <xf numFmtId="41" fontId="10" fillId="0" borderId="0" xfId="0" applyNumberFormat="1" applyFont="1" applyFill="1" applyAlignment="1">
      <alignment horizontal="right"/>
    </xf>
    <xf numFmtId="0" fontId="26" fillId="0" borderId="0" xfId="0" quotePrefix="1" applyFont="1" applyFill="1" applyAlignment="1"/>
    <xf numFmtId="41" fontId="15" fillId="0" borderId="0" xfId="0" applyNumberFormat="1" applyFont="1" applyFill="1" applyBorder="1"/>
    <xf numFmtId="41" fontId="3" fillId="0" borderId="0" xfId="0" applyNumberFormat="1" applyFont="1" applyFill="1" applyBorder="1"/>
    <xf numFmtId="49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1" xfId="0" applyNumberFormat="1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25" fillId="0" borderId="0" xfId="0" applyNumberFormat="1" applyFont="1" applyFill="1"/>
    <xf numFmtId="41" fontId="15" fillId="0" borderId="0" xfId="0" applyNumberFormat="1" applyFont="1" applyFill="1"/>
    <xf numFmtId="41" fontId="25" fillId="0" borderId="1" xfId="0" applyNumberFormat="1" applyFont="1" applyFill="1" applyBorder="1" applyAlignment="1">
      <alignment horizontal="right"/>
    </xf>
    <xf numFmtId="41" fontId="15" fillId="0" borderId="1" xfId="0" applyNumberFormat="1" applyFont="1" applyFill="1" applyBorder="1" applyAlignment="1">
      <alignment horizontal="right"/>
    </xf>
    <xf numFmtId="41" fontId="25" fillId="0" borderId="0" xfId="0" applyNumberFormat="1" applyFont="1" applyFill="1" applyAlignment="1">
      <alignment horizontal="right"/>
    </xf>
    <xf numFmtId="49" fontId="15" fillId="0" borderId="0" xfId="0" applyNumberFormat="1" applyFont="1" applyFill="1" applyAlignment="1">
      <alignment horizontal="left"/>
    </xf>
    <xf numFmtId="0" fontId="4" fillId="4" borderId="0" xfId="0" applyFont="1" applyFill="1" applyBorder="1" applyAlignment="1"/>
    <xf numFmtId="41" fontId="15" fillId="4" borderId="0" xfId="0" applyNumberFormat="1" applyFont="1" applyFill="1" applyBorder="1" applyAlignment="1">
      <alignment horizontal="right"/>
    </xf>
    <xf numFmtId="165" fontId="26" fillId="4" borderId="0" xfId="4" applyNumberFormat="1" applyFont="1" applyFill="1" applyAlignment="1"/>
    <xf numFmtId="9" fontId="26" fillId="4" borderId="0" xfId="2" applyFont="1" applyFill="1" applyAlignment="1"/>
    <xf numFmtId="9" fontId="4" fillId="4" borderId="0" xfId="2" applyNumberFormat="1" applyFont="1" applyFill="1" applyAlignment="1"/>
    <xf numFmtId="0" fontId="4" fillId="4" borderId="0" xfId="0" applyFont="1" applyFill="1" applyBorder="1"/>
    <xf numFmtId="0" fontId="4" fillId="6" borderId="0" xfId="0" applyFont="1" applyFill="1" applyAlignment="1"/>
    <xf numFmtId="37" fontId="10" fillId="6" borderId="0" xfId="0" applyNumberFormat="1" applyFont="1" applyFill="1" applyAlignment="1">
      <alignment horizontal="center" wrapText="1"/>
    </xf>
    <xf numFmtId="41" fontId="6" fillId="6" borderId="3" xfId="0" applyNumberFormat="1" applyFont="1" applyFill="1" applyBorder="1"/>
    <xf numFmtId="41" fontId="3" fillId="6" borderId="0" xfId="0" applyNumberFormat="1" applyFont="1" applyFill="1" applyBorder="1"/>
    <xf numFmtId="41" fontId="15" fillId="6" borderId="0" xfId="0" applyNumberFormat="1" applyFont="1" applyFill="1" applyBorder="1" applyAlignment="1">
      <alignment horizontal="right"/>
    </xf>
    <xf numFmtId="41" fontId="10" fillId="6" borderId="2" xfId="0" applyNumberFormat="1" applyFont="1" applyFill="1" applyBorder="1" applyAlignment="1">
      <alignment horizontal="right"/>
    </xf>
    <xf numFmtId="41" fontId="10" fillId="6" borderId="2" xfId="0" applyNumberFormat="1" applyFont="1" applyFill="1" applyBorder="1"/>
    <xf numFmtId="41" fontId="7" fillId="6" borderId="0" xfId="0" applyNumberFormat="1" applyFont="1" applyFill="1" applyBorder="1"/>
    <xf numFmtId="41" fontId="10" fillId="6" borderId="0" xfId="0" applyNumberFormat="1" applyFont="1" applyFill="1" applyBorder="1"/>
    <xf numFmtId="41" fontId="9" fillId="6" borderId="2" xfId="0" applyNumberFormat="1" applyFont="1" applyFill="1" applyBorder="1" applyAlignment="1">
      <alignment horizontal="right"/>
    </xf>
    <xf numFmtId="41" fontId="3" fillId="6" borderId="0" xfId="0" applyNumberFormat="1" applyFont="1" applyFill="1"/>
    <xf numFmtId="41" fontId="10" fillId="7" borderId="2" xfId="0" applyNumberFormat="1" applyFont="1" applyFill="1" applyBorder="1" applyAlignment="1">
      <alignment horizontal="right"/>
    </xf>
    <xf numFmtId="41" fontId="10" fillId="6" borderId="0" xfId="0" applyNumberFormat="1" applyFont="1" applyFill="1" applyBorder="1" applyAlignment="1">
      <alignment horizontal="right"/>
    </xf>
    <xf numFmtId="41" fontId="20" fillId="6" borderId="2" xfId="0" applyNumberFormat="1" applyFont="1" applyFill="1" applyBorder="1" applyAlignment="1">
      <alignment horizontal="right"/>
    </xf>
    <xf numFmtId="41" fontId="9" fillId="6" borderId="2" xfId="0" applyNumberFormat="1" applyFont="1" applyFill="1" applyBorder="1"/>
    <xf numFmtId="41" fontId="9" fillId="6" borderId="0" xfId="0" applyNumberFormat="1" applyFont="1" applyFill="1" applyAlignment="1">
      <alignment horizontal="right"/>
    </xf>
    <xf numFmtId="41" fontId="9" fillId="6" borderId="4" xfId="0" applyNumberFormat="1" applyFont="1" applyFill="1" applyBorder="1"/>
    <xf numFmtId="41" fontId="9" fillId="6" borderId="0" xfId="0" applyNumberFormat="1" applyFont="1" applyFill="1" applyBorder="1" applyAlignment="1">
      <alignment horizontal="right"/>
    </xf>
    <xf numFmtId="41" fontId="10" fillId="6" borderId="4" xfId="0" applyNumberFormat="1" applyFont="1" applyFill="1" applyBorder="1" applyAlignment="1">
      <alignment horizontal="right"/>
    </xf>
    <xf numFmtId="41" fontId="10" fillId="6" borderId="1" xfId="0" applyNumberFormat="1" applyFont="1" applyFill="1" applyBorder="1" applyAlignment="1">
      <alignment horizontal="right"/>
    </xf>
    <xf numFmtId="41" fontId="10" fillId="6" borderId="1" xfId="0" applyNumberFormat="1" applyFont="1" applyFill="1" applyBorder="1"/>
    <xf numFmtId="41" fontId="10" fillId="6" borderId="0" xfId="0" applyNumberFormat="1" applyFont="1" applyFill="1" applyAlignment="1">
      <alignment horizontal="right"/>
    </xf>
    <xf numFmtId="41" fontId="10" fillId="6" borderId="6" xfId="0" applyNumberFormat="1" applyFont="1" applyFill="1" applyBorder="1" applyAlignment="1">
      <alignment horizontal="right"/>
    </xf>
    <xf numFmtId="37" fontId="3" fillId="6" borderId="0" xfId="0" applyNumberFormat="1" applyFont="1" applyFill="1"/>
    <xf numFmtId="37" fontId="3" fillId="0" borderId="0" xfId="0" applyNumberFormat="1" applyFont="1" applyFill="1" applyBorder="1"/>
    <xf numFmtId="0" fontId="4" fillId="0" borderId="0" xfId="0" applyFont="1" applyFill="1" applyBorder="1"/>
    <xf numFmtId="41" fontId="9" fillId="0" borderId="4" xfId="0" applyNumberFormat="1" applyFont="1" applyFill="1" applyBorder="1" applyAlignment="1">
      <alignment horizontal="right"/>
    </xf>
    <xf numFmtId="41" fontId="30" fillId="3" borderId="2" xfId="1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/>
    </xf>
    <xf numFmtId="41" fontId="9" fillId="0" borderId="2" xfId="0" applyNumberFormat="1" applyFont="1" applyFill="1" applyBorder="1" applyAlignment="1">
      <alignment horizontal="right"/>
    </xf>
    <xf numFmtId="49" fontId="23" fillId="0" borderId="0" xfId="0" applyNumberFormat="1" applyFont="1" applyFill="1" applyAlignment="1">
      <alignment horizontal="left"/>
    </xf>
    <xf numFmtId="14" fontId="21" fillId="0" borderId="0" xfId="0" applyNumberFormat="1" applyFont="1" applyFill="1" applyAlignment="1">
      <alignment horizontal="left"/>
    </xf>
    <xf numFmtId="41" fontId="7" fillId="0" borderId="0" xfId="0" applyNumberFormat="1" applyFont="1" applyFill="1"/>
    <xf numFmtId="41" fontId="9" fillId="0" borderId="0" xfId="0" applyNumberFormat="1" applyFont="1" applyFill="1" applyAlignment="1">
      <alignment horizontal="right"/>
    </xf>
    <xf numFmtId="41" fontId="10" fillId="0" borderId="1" xfId="0" applyNumberFormat="1" applyFont="1" applyFill="1" applyBorder="1" applyAlignment="1">
      <alignment horizontal="right"/>
    </xf>
    <xf numFmtId="41" fontId="10" fillId="0" borderId="0" xfId="0" applyNumberFormat="1" applyFont="1" applyFill="1"/>
    <xf numFmtId="41" fontId="5" fillId="0" borderId="0" xfId="0" applyNumberFormat="1" applyFont="1" applyFill="1"/>
  </cellXfs>
  <cellStyles count="5">
    <cellStyle name="Bad" xfId="1" builtinId="27"/>
    <cellStyle name="Comma" xfId="4" builtinId="3"/>
    <cellStyle name="Comma [0]" xfId="3" builtinId="6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FF"/>
      <color rgb="FFFF0000"/>
      <color rgb="FFFF99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6</xdr:row>
      <xdr:rowOff>116417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D2C25B7-E58C-4651-B83E-6ACA29F73A37}"/>
            </a:ext>
          </a:extLst>
        </xdr:cNvPr>
        <xdr:cNvSpPr txBox="1"/>
      </xdr:nvSpPr>
      <xdr:spPr>
        <a:xfrm>
          <a:off x="10297583" y="1386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7</xdr:row>
      <xdr:rowOff>116417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0C008BA-F59E-4D35-BA1A-F2208B8C97D8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11</xdr:row>
      <xdr:rowOff>116417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4397699-38F2-4299-AA6C-23AF6DFFE07A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</xdr:row>
      <xdr:rowOff>116417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AAD9C05-7101-42F4-9B1F-83FA50668596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12</xdr:row>
      <xdr:rowOff>116417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486D1AC-4093-4F0A-A11F-4D7CC7368E8D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</xdr:row>
      <xdr:rowOff>116417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8C1A294-420C-45EB-A7DF-95805970FDE0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13</xdr:row>
      <xdr:rowOff>116417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B070D0-524C-4CF2-B6DE-1F6887DCE682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14</xdr:row>
      <xdr:rowOff>116417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1E9DC054-F67F-4E0A-850F-8D742DE2F368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17</xdr:row>
      <xdr:rowOff>116417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CABE3AA-4D01-49A0-B0BF-2176D47930EA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18</xdr:row>
      <xdr:rowOff>116417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5A0FA90F-20C9-4CD3-AC2F-24A28216C3BB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22</xdr:row>
      <xdr:rowOff>116417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FE54E8F-612E-4E22-81C5-FE9911271C6C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23</xdr:row>
      <xdr:rowOff>116417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7FAE0FB1-3387-44AA-8486-C2C1D59AC6C2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28</xdr:row>
      <xdr:rowOff>116417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3D4E8A9-5E7A-40FD-8DB9-CAADF72F9E9B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29</xdr:row>
      <xdr:rowOff>116417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B5E1C8D-B818-45D6-8D3D-C76F88F33A6C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33</xdr:row>
      <xdr:rowOff>116417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48DDB5C2-F337-4077-B768-03144B67B7A3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34</xdr:row>
      <xdr:rowOff>116417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B5C2F55-4B80-4388-8FEB-B6DF1AC4E7E0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34</xdr:row>
      <xdr:rowOff>116417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96C370F-25BC-4BDA-A5F0-B641934B3194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35</xdr:row>
      <xdr:rowOff>116417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40214C4-537E-4FEE-A89D-0C21A419B0C3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35</xdr:row>
      <xdr:rowOff>116417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C3FD7EE6-558A-4C8F-BD7F-E13DA23757FA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36</xdr:row>
      <xdr:rowOff>116417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033B27-197E-447A-9A13-ABBCC34F7F30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36</xdr:row>
      <xdr:rowOff>116417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FD866E05-059A-4841-8145-748B2F2713D5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37</xdr:row>
      <xdr:rowOff>116417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B53D44A-24B5-4F86-8AD6-CC11370554A1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37</xdr:row>
      <xdr:rowOff>116417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A91D3EC-CF35-4B67-9F08-6827098D531C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38</xdr:row>
      <xdr:rowOff>116417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ABB3750-2718-455C-A180-B6A91A196938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38</xdr:row>
      <xdr:rowOff>116417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9D5FD1B6-2F8B-4C1E-942A-3F6F7E16CB2A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39</xdr:row>
      <xdr:rowOff>116417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0A77D63-59EB-4AFF-8FDE-D90EE7EAAD5A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42</xdr:row>
      <xdr:rowOff>116417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F067F3A8-06E0-498D-91B8-53A84030C68F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43</xdr:row>
      <xdr:rowOff>116417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32082986-CC0D-4108-84DC-79DA4139B1E8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43</xdr:row>
      <xdr:rowOff>116417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FBA5D648-DF56-45A5-9FF3-BB69F0722C26}"/>
            </a:ext>
          </a:extLst>
        </xdr:cNvPr>
        <xdr:cNvSpPr txBox="1"/>
      </xdr:nvSpPr>
      <xdr:spPr>
        <a:xfrm>
          <a:off x="10583333" y="15769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44</xdr:row>
      <xdr:rowOff>116417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C12BC2E-7B5B-4375-97C7-1B26A10EC422}"/>
            </a:ext>
          </a:extLst>
        </xdr:cNvPr>
        <xdr:cNvSpPr txBox="1"/>
      </xdr:nvSpPr>
      <xdr:spPr>
        <a:xfrm>
          <a:off x="10583333" y="17674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anded Edge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983"/>
  <sheetViews>
    <sheetView tabSelected="1" zoomScale="90" zoomScaleNormal="90" zoomScalePageLayoutView="90" workbookViewId="0">
      <pane ySplit="3495" topLeftCell="A100"/>
      <selection activeCell="A5" sqref="A5"/>
      <selection pane="bottomLeft" activeCell="B205" sqref="B205"/>
    </sheetView>
  </sheetViews>
  <sheetFormatPr defaultColWidth="15.140625" defaultRowHeight="15" customHeight="1" x14ac:dyDescent="0.25"/>
  <cols>
    <col min="1" max="1" width="41.5703125" style="4" bestFit="1" customWidth="1"/>
    <col min="2" max="11" width="9.7109375" style="4" customWidth="1"/>
    <col min="12" max="12" width="10.140625" style="172" customWidth="1"/>
    <col min="13" max="13" width="10.140625" style="58" customWidth="1"/>
    <col min="14" max="14" width="11.7109375" style="58" customWidth="1"/>
    <col min="15" max="15" width="10.28515625" style="134" customWidth="1"/>
    <col min="16" max="16" width="10.140625" style="178" customWidth="1"/>
    <col min="17" max="17" width="59.28515625" style="62" hidden="1" customWidth="1"/>
    <col min="18" max="18" width="8.42578125" style="4" bestFit="1" customWidth="1"/>
    <col min="19" max="25" width="7.42578125" style="4" customWidth="1"/>
    <col min="26" max="16384" width="15.140625" style="4"/>
  </cols>
  <sheetData>
    <row r="1" spans="1:17" ht="15" customHeight="1" x14ac:dyDescent="0.25">
      <c r="A1" s="210" t="s">
        <v>324</v>
      </c>
    </row>
    <row r="2" spans="1:17" ht="15" customHeight="1" x14ac:dyDescent="0.25">
      <c r="A2" s="211">
        <f ca="1">NOW()</f>
        <v>43564.642077546298</v>
      </c>
    </row>
    <row r="3" spans="1:17" ht="15" customHeight="1" x14ac:dyDescent="0.25">
      <c r="A3" s="9"/>
    </row>
    <row r="4" spans="1:17" ht="39" customHeight="1" x14ac:dyDescent="0.25">
      <c r="A4" s="1"/>
      <c r="B4" s="2" t="s">
        <v>0</v>
      </c>
      <c r="C4" s="37" t="s">
        <v>183</v>
      </c>
      <c r="D4" s="2" t="s">
        <v>1</v>
      </c>
      <c r="E4" s="37" t="s">
        <v>179</v>
      </c>
      <c r="F4" s="37" t="s">
        <v>180</v>
      </c>
      <c r="G4" s="37" t="s">
        <v>181</v>
      </c>
      <c r="H4" s="37" t="s">
        <v>182</v>
      </c>
      <c r="I4" s="37" t="s">
        <v>184</v>
      </c>
      <c r="J4" s="2" t="s">
        <v>2</v>
      </c>
      <c r="K4" s="2" t="s">
        <v>3</v>
      </c>
      <c r="L4" s="72" t="s">
        <v>288</v>
      </c>
      <c r="M4" s="128" t="s">
        <v>309</v>
      </c>
      <c r="N4" s="131" t="s">
        <v>228</v>
      </c>
      <c r="O4" s="132" t="s">
        <v>240</v>
      </c>
      <c r="P4" s="179" t="s">
        <v>221</v>
      </c>
      <c r="Q4" s="107" t="s">
        <v>230</v>
      </c>
    </row>
    <row r="5" spans="1:17" ht="15.75" customHeight="1" x14ac:dyDescent="0.25">
      <c r="A5" s="5" t="s">
        <v>4</v>
      </c>
      <c r="B5" s="216"/>
      <c r="C5" s="216"/>
      <c r="D5" s="216"/>
      <c r="E5" s="216"/>
      <c r="F5" s="216"/>
      <c r="G5" s="216"/>
      <c r="H5" s="216"/>
      <c r="I5" s="216"/>
      <c r="J5" s="216"/>
      <c r="K5" s="6"/>
      <c r="L5" s="54"/>
      <c r="M5" s="54"/>
      <c r="N5" s="133"/>
      <c r="P5" s="180"/>
    </row>
    <row r="6" spans="1:17" x14ac:dyDescent="0.25">
      <c r="A6" s="7" t="s">
        <v>5</v>
      </c>
      <c r="B6" s="165"/>
      <c r="C6" s="165"/>
      <c r="D6" s="165"/>
      <c r="E6" s="165"/>
      <c r="F6" s="165"/>
      <c r="G6" s="165"/>
      <c r="H6" s="165"/>
      <c r="I6" s="165"/>
      <c r="J6" s="165"/>
      <c r="K6" s="8"/>
      <c r="L6" s="50"/>
      <c r="M6" s="50"/>
      <c r="N6" s="133"/>
      <c r="P6" s="181"/>
    </row>
    <row r="7" spans="1:17" s="104" customFormat="1" x14ac:dyDescent="0.25">
      <c r="A7" s="171" t="s">
        <v>6</v>
      </c>
      <c r="B7" s="116">
        <v>481891</v>
      </c>
      <c r="C7" s="116"/>
      <c r="D7" s="116"/>
      <c r="E7" s="116"/>
      <c r="F7" s="116"/>
      <c r="H7" s="116"/>
      <c r="I7" s="116"/>
      <c r="J7" s="116"/>
      <c r="K7" s="116"/>
      <c r="L7" s="173">
        <f>SUM(B7:K7)</f>
        <v>481891</v>
      </c>
      <c r="M7" s="173">
        <v>484396</v>
      </c>
      <c r="N7" s="174">
        <f>+L7-M7</f>
        <v>-2505</v>
      </c>
      <c r="O7" s="175">
        <f t="shared" ref="O7" si="0">IF(M7,+N7/M7,0)</f>
        <v>-5.1713886985028778E-3</v>
      </c>
      <c r="P7" s="182">
        <v>444485.53</v>
      </c>
      <c r="Q7" s="104" t="s">
        <v>301</v>
      </c>
    </row>
    <row r="8" spans="1:17" x14ac:dyDescent="0.25">
      <c r="A8" s="9" t="s">
        <v>7</v>
      </c>
      <c r="B8" s="162"/>
      <c r="C8" s="162">
        <v>200000</v>
      </c>
      <c r="D8" s="162"/>
      <c r="E8" s="162"/>
      <c r="F8" s="162"/>
      <c r="G8" s="162"/>
      <c r="H8" s="162"/>
      <c r="I8" s="162"/>
      <c r="J8" s="162"/>
      <c r="K8" s="10"/>
      <c r="L8" s="51">
        <f>SUM(B8:K8)</f>
        <v>200000</v>
      </c>
      <c r="M8" s="51">
        <v>225000</v>
      </c>
      <c r="N8" s="133">
        <f>+L8-M8</f>
        <v>-25000</v>
      </c>
      <c r="O8" s="134">
        <f t="shared" ref="O8" si="1">IF(M8,+N8/M8,0)</f>
        <v>-0.1111111111111111</v>
      </c>
      <c r="P8" s="181">
        <v>197790</v>
      </c>
    </row>
    <row r="9" spans="1:17" x14ac:dyDescent="0.25">
      <c r="A9" s="12" t="s">
        <v>8</v>
      </c>
      <c r="B9" s="77">
        <f t="shared" ref="B9:P9" si="2">SUM(B7:B8)</f>
        <v>481891</v>
      </c>
      <c r="C9" s="77">
        <f t="shared" si="2"/>
        <v>200000</v>
      </c>
      <c r="D9" s="77">
        <f t="shared" si="2"/>
        <v>0</v>
      </c>
      <c r="E9" s="77">
        <f t="shared" si="2"/>
        <v>0</v>
      </c>
      <c r="F9" s="86">
        <f t="shared" si="2"/>
        <v>0</v>
      </c>
      <c r="G9" s="86">
        <f t="shared" si="2"/>
        <v>0</v>
      </c>
      <c r="H9" s="86">
        <f t="shared" si="2"/>
        <v>0</v>
      </c>
      <c r="I9" s="86">
        <f t="shared" si="2"/>
        <v>0</v>
      </c>
      <c r="J9" s="86">
        <f>SUM(J7:J8)</f>
        <v>0</v>
      </c>
      <c r="K9" s="77">
        <f t="shared" si="2"/>
        <v>0</v>
      </c>
      <c r="L9" s="78">
        <f t="shared" si="2"/>
        <v>681891</v>
      </c>
      <c r="M9" s="79">
        <f t="shared" si="2"/>
        <v>709396</v>
      </c>
      <c r="N9" s="135">
        <f t="shared" ref="N9" si="3">SUM(N7:N8)</f>
        <v>-27505</v>
      </c>
      <c r="O9" s="136">
        <f t="shared" ref="O9" si="4">IF(M9,+N9/M9,0)</f>
        <v>-3.8772420481649181E-2</v>
      </c>
      <c r="P9" s="183">
        <f t="shared" si="2"/>
        <v>642275.53</v>
      </c>
    </row>
    <row r="10" spans="1:17" x14ac:dyDescent="0.25">
      <c r="A10" s="9"/>
      <c r="B10" s="8"/>
      <c r="C10" s="8"/>
      <c r="D10" s="8"/>
      <c r="E10" s="8"/>
      <c r="F10" s="165"/>
      <c r="G10" s="165"/>
      <c r="H10" s="165"/>
      <c r="I10" s="165"/>
      <c r="J10" s="165"/>
      <c r="K10" s="8"/>
      <c r="L10" s="50"/>
      <c r="M10" s="50"/>
      <c r="N10" s="133"/>
      <c r="P10" s="181"/>
    </row>
    <row r="11" spans="1:17" x14ac:dyDescent="0.25">
      <c r="A11" s="9"/>
      <c r="B11" s="8"/>
      <c r="C11" s="8"/>
      <c r="D11" s="8"/>
      <c r="E11" s="8"/>
      <c r="F11" s="165"/>
      <c r="G11" s="165"/>
      <c r="H11" s="165"/>
      <c r="I11" s="165"/>
      <c r="J11" s="165"/>
      <c r="K11" s="8"/>
      <c r="L11" s="50"/>
      <c r="M11" s="50"/>
      <c r="N11" s="133"/>
      <c r="P11" s="181"/>
    </row>
    <row r="12" spans="1:17" x14ac:dyDescent="0.25">
      <c r="A12" s="7" t="s">
        <v>215</v>
      </c>
      <c r="B12" s="8"/>
      <c r="C12" s="8"/>
      <c r="D12" s="165"/>
      <c r="E12" s="8"/>
      <c r="F12" s="8"/>
      <c r="G12" s="8"/>
      <c r="H12" s="8"/>
      <c r="I12" s="8"/>
      <c r="J12" s="8"/>
      <c r="K12" s="8"/>
      <c r="L12" s="50"/>
      <c r="M12" s="50"/>
      <c r="N12" s="133"/>
      <c r="P12" s="181"/>
    </row>
    <row r="13" spans="1:17" x14ac:dyDescent="0.25">
      <c r="A13" s="9" t="s">
        <v>216</v>
      </c>
      <c r="B13" s="10"/>
      <c r="C13" s="10"/>
      <c r="D13" s="157">
        <f>409674+3193+271+18281+4558-1</f>
        <v>435976</v>
      </c>
      <c r="E13" s="10">
        <v>12224</v>
      </c>
      <c r="F13" s="10">
        <v>54201</v>
      </c>
      <c r="G13" s="10">
        <v>3458</v>
      </c>
      <c r="H13" s="10">
        <v>5055</v>
      </c>
      <c r="I13" s="10"/>
      <c r="J13" s="10"/>
      <c r="K13" s="10"/>
      <c r="L13" s="51">
        <f>SUM(B13:K13)</f>
        <v>510914</v>
      </c>
      <c r="M13" s="51">
        <v>498110</v>
      </c>
      <c r="N13" s="133">
        <f t="shared" ref="N13:N15" si="5">+L13-M13</f>
        <v>12804</v>
      </c>
      <c r="O13" s="134">
        <f t="shared" ref="O13" si="6">+N13/M13</f>
        <v>2.5705165525687097E-2</v>
      </c>
      <c r="P13" s="181">
        <v>480555</v>
      </c>
    </row>
    <row r="14" spans="1:17" x14ac:dyDescent="0.25">
      <c r="A14" s="109" t="s">
        <v>257</v>
      </c>
      <c r="B14" s="10"/>
      <c r="C14" s="10"/>
      <c r="D14" s="162"/>
      <c r="E14" s="10"/>
      <c r="F14" s="10"/>
      <c r="G14" s="10"/>
      <c r="H14" s="10"/>
      <c r="I14" s="10">
        <v>60000</v>
      </c>
      <c r="J14" s="10"/>
      <c r="K14" s="10"/>
      <c r="L14" s="51">
        <f>SUM(B14:K14)</f>
        <v>60000</v>
      </c>
      <c r="M14" s="51">
        <v>60000</v>
      </c>
      <c r="N14" s="133">
        <f t="shared" si="5"/>
        <v>0</v>
      </c>
      <c r="O14" s="134">
        <f t="shared" ref="O14" si="7">IF(M14,+N14/M14,0)</f>
        <v>0</v>
      </c>
      <c r="P14" s="181">
        <v>45000</v>
      </c>
    </row>
    <row r="15" spans="1:17" s="62" customFormat="1" x14ac:dyDescent="0.25">
      <c r="A15" s="156" t="s">
        <v>258</v>
      </c>
      <c r="B15" s="163"/>
      <c r="C15" s="163"/>
      <c r="D15" s="162">
        <f>+D243+D249</f>
        <v>18231</v>
      </c>
      <c r="E15" s="163"/>
      <c r="F15" s="163"/>
      <c r="G15" s="163"/>
      <c r="H15" s="163"/>
      <c r="I15" s="163"/>
      <c r="J15" s="163"/>
      <c r="K15" s="163"/>
      <c r="L15" s="50">
        <f>SUM(B15:K15)</f>
        <v>18231</v>
      </c>
      <c r="M15" s="50">
        <v>17284</v>
      </c>
      <c r="N15" s="133">
        <f t="shared" si="5"/>
        <v>947</v>
      </c>
      <c r="O15" s="134">
        <f>IF(M15,+N15/M15,0)</f>
        <v>5.4790557741263596E-2</v>
      </c>
      <c r="P15" s="181">
        <v>0</v>
      </c>
      <c r="Q15" s="67" t="s">
        <v>259</v>
      </c>
    </row>
    <row r="16" spans="1:17" x14ac:dyDescent="0.25">
      <c r="A16" s="12" t="s">
        <v>217</v>
      </c>
      <c r="B16" s="77">
        <f t="shared" ref="B16:L16" si="8">SUM(B13:B15)</f>
        <v>0</v>
      </c>
      <c r="C16" s="77">
        <f t="shared" si="8"/>
        <v>0</v>
      </c>
      <c r="D16" s="77">
        <f t="shared" si="8"/>
        <v>454207</v>
      </c>
      <c r="E16" s="77">
        <f t="shared" si="8"/>
        <v>12224</v>
      </c>
      <c r="F16" s="77">
        <f t="shared" si="8"/>
        <v>54201</v>
      </c>
      <c r="G16" s="77">
        <f t="shared" si="8"/>
        <v>3458</v>
      </c>
      <c r="H16" s="77">
        <f t="shared" si="8"/>
        <v>5055</v>
      </c>
      <c r="I16" s="77">
        <f t="shared" si="8"/>
        <v>60000</v>
      </c>
      <c r="J16" s="77">
        <f t="shared" si="8"/>
        <v>0</v>
      </c>
      <c r="K16" s="77">
        <f t="shared" si="8"/>
        <v>0</v>
      </c>
      <c r="L16" s="82">
        <f t="shared" si="8"/>
        <v>589145</v>
      </c>
      <c r="M16" s="79">
        <f t="shared" ref="M16" si="9">SUM(M13:M15)</f>
        <v>575394</v>
      </c>
      <c r="N16" s="137">
        <f>SUM(N13:N15)</f>
        <v>13751</v>
      </c>
      <c r="O16" s="136">
        <f t="shared" ref="O16" si="10">IF(M16,+N16/M16,0)</f>
        <v>2.3898407004591636E-2</v>
      </c>
      <c r="P16" s="184">
        <f>SUM(P13:P15)</f>
        <v>525555</v>
      </c>
      <c r="Q16" s="67"/>
    </row>
    <row r="17" spans="1:17" x14ac:dyDescent="0.25">
      <c r="A17" s="9"/>
      <c r="B17" s="8"/>
      <c r="C17" s="8"/>
      <c r="D17" s="8"/>
      <c r="E17" s="8"/>
      <c r="F17" s="8"/>
      <c r="G17" s="8"/>
      <c r="H17" s="8"/>
      <c r="I17" s="8"/>
      <c r="J17" s="8"/>
      <c r="K17" s="8"/>
      <c r="L17" s="50"/>
      <c r="M17" s="50"/>
      <c r="N17" s="133"/>
      <c r="P17" s="181"/>
    </row>
    <row r="18" spans="1:17" x14ac:dyDescent="0.25">
      <c r="A18" s="7" t="s">
        <v>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50"/>
      <c r="M18" s="50"/>
      <c r="N18" s="133"/>
      <c r="P18" s="181"/>
    </row>
    <row r="19" spans="1:17" x14ac:dyDescent="0.25">
      <c r="A19" s="9" t="s">
        <v>10</v>
      </c>
      <c r="B19" s="10"/>
      <c r="C19" s="10"/>
      <c r="D19" s="10"/>
      <c r="E19" s="10"/>
      <c r="F19" s="10"/>
      <c r="G19" s="10"/>
      <c r="H19" s="10"/>
      <c r="I19" s="10"/>
      <c r="J19" s="10">
        <v>70000</v>
      </c>
      <c r="K19" s="10"/>
      <c r="L19" s="51">
        <f>SUM(B19:K19)</f>
        <v>70000</v>
      </c>
      <c r="M19" s="51">
        <v>70000</v>
      </c>
      <c r="N19" s="133">
        <f>+L19-M19</f>
        <v>0</v>
      </c>
      <c r="O19" s="134">
        <f>+N19/M19</f>
        <v>0</v>
      </c>
      <c r="P19" s="181">
        <v>70000</v>
      </c>
      <c r="Q19" s="67" t="s">
        <v>260</v>
      </c>
    </row>
    <row r="20" spans="1:17" x14ac:dyDescent="0.25">
      <c r="A20" s="9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50">
        <f>SUM(B20:K20)</f>
        <v>0</v>
      </c>
      <c r="M20" s="50"/>
      <c r="N20" s="133"/>
      <c r="P20" s="181"/>
    </row>
    <row r="21" spans="1:17" x14ac:dyDescent="0.25">
      <c r="A21" s="12" t="s">
        <v>12</v>
      </c>
      <c r="B21" s="77">
        <f t="shared" ref="B21:L21" si="11">SUM(B19:B20)</f>
        <v>0</v>
      </c>
      <c r="C21" s="77">
        <f t="shared" si="11"/>
        <v>0</v>
      </c>
      <c r="D21" s="77">
        <f t="shared" si="11"/>
        <v>0</v>
      </c>
      <c r="E21" s="77">
        <f t="shared" si="11"/>
        <v>0</v>
      </c>
      <c r="F21" s="77">
        <f t="shared" si="11"/>
        <v>0</v>
      </c>
      <c r="G21" s="77">
        <f t="shared" si="11"/>
        <v>0</v>
      </c>
      <c r="H21" s="77">
        <f t="shared" si="11"/>
        <v>0</v>
      </c>
      <c r="I21" s="77">
        <f t="shared" si="11"/>
        <v>0</v>
      </c>
      <c r="J21" s="77">
        <f t="shared" si="11"/>
        <v>70000</v>
      </c>
      <c r="K21" s="77">
        <f t="shared" si="11"/>
        <v>0</v>
      </c>
      <c r="L21" s="78">
        <f t="shared" si="11"/>
        <v>70000</v>
      </c>
      <c r="M21" s="79">
        <f t="shared" ref="M21" si="12">SUM(M19:M20)</f>
        <v>70000</v>
      </c>
      <c r="N21" s="137">
        <f>SUM(N19:N20)</f>
        <v>0</v>
      </c>
      <c r="O21" s="136">
        <f t="shared" ref="O21" si="13">IF(M21,+N21/M21,0)</f>
        <v>0</v>
      </c>
      <c r="P21" s="183">
        <f>SUM(P19:P20)</f>
        <v>70000</v>
      </c>
    </row>
    <row r="22" spans="1:17" x14ac:dyDescent="0.25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50"/>
      <c r="M22" s="50"/>
      <c r="N22" s="133"/>
      <c r="P22" s="181"/>
    </row>
    <row r="23" spans="1:17" x14ac:dyDescent="0.25">
      <c r="A23" s="7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53"/>
      <c r="M23" s="53"/>
      <c r="N23" s="133"/>
      <c r="P23" s="185"/>
    </row>
    <row r="24" spans="1:17" s="18" customFormat="1" x14ac:dyDescent="0.25">
      <c r="A24" s="15" t="s">
        <v>174</v>
      </c>
      <c r="B24" s="22"/>
      <c r="C24" s="22"/>
      <c r="D24" s="22"/>
      <c r="E24" s="22"/>
      <c r="F24" s="22"/>
      <c r="G24" s="22"/>
      <c r="H24" s="22"/>
      <c r="I24" s="22"/>
      <c r="J24" s="22"/>
      <c r="K24" s="40"/>
      <c r="L24" s="76">
        <f>SUM(B24:K24)</f>
        <v>0</v>
      </c>
      <c r="M24" s="76"/>
      <c r="N24" s="133">
        <f>+L24-M24</f>
        <v>0</v>
      </c>
      <c r="O24" s="134">
        <f t="shared" ref="O24" si="14">IF(M24,+N24/M24,0)</f>
        <v>0</v>
      </c>
      <c r="P24" s="186">
        <v>0</v>
      </c>
      <c r="Q24" s="62" t="s">
        <v>299</v>
      </c>
    </row>
    <row r="25" spans="1:17" x14ac:dyDescent="0.25">
      <c r="A25" s="12" t="s">
        <v>14</v>
      </c>
      <c r="B25" s="77">
        <f t="shared" ref="B25:M25" si="15">SUM(B24:B24)</f>
        <v>0</v>
      </c>
      <c r="C25" s="77">
        <f t="shared" si="15"/>
        <v>0</v>
      </c>
      <c r="D25" s="77">
        <f t="shared" si="15"/>
        <v>0</v>
      </c>
      <c r="E25" s="77">
        <f t="shared" si="15"/>
        <v>0</v>
      </c>
      <c r="F25" s="77">
        <f t="shared" si="15"/>
        <v>0</v>
      </c>
      <c r="G25" s="77">
        <f t="shared" si="15"/>
        <v>0</v>
      </c>
      <c r="H25" s="77">
        <f t="shared" si="15"/>
        <v>0</v>
      </c>
      <c r="I25" s="77">
        <f t="shared" si="15"/>
        <v>0</v>
      </c>
      <c r="J25" s="77">
        <f t="shared" si="15"/>
        <v>0</v>
      </c>
      <c r="K25" s="77">
        <f t="shared" si="15"/>
        <v>0</v>
      </c>
      <c r="L25" s="78">
        <f t="shared" si="15"/>
        <v>0</v>
      </c>
      <c r="M25" s="79">
        <f t="shared" si="15"/>
        <v>0</v>
      </c>
      <c r="N25" s="137">
        <f>+N24</f>
        <v>0</v>
      </c>
      <c r="O25" s="136">
        <f t="shared" ref="O25" si="16">IF(M25,+N25/M25,0)</f>
        <v>0</v>
      </c>
      <c r="P25" s="183">
        <f>SUM(P24:P24)</f>
        <v>0</v>
      </c>
    </row>
    <row r="26" spans="1:17" x14ac:dyDescent="0.25">
      <c r="A26" s="7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76"/>
      <c r="M26" s="76"/>
      <c r="N26" s="133"/>
      <c r="P26" s="186"/>
    </row>
    <row r="27" spans="1:17" x14ac:dyDescent="0.25">
      <c r="A27" s="12" t="s">
        <v>15</v>
      </c>
      <c r="B27" s="77">
        <f>+B25</f>
        <v>0</v>
      </c>
      <c r="C27" s="77">
        <f t="shared" ref="C27:P27" si="17">+C25</f>
        <v>0</v>
      </c>
      <c r="D27" s="77">
        <f t="shared" si="17"/>
        <v>0</v>
      </c>
      <c r="E27" s="77">
        <f t="shared" si="17"/>
        <v>0</v>
      </c>
      <c r="F27" s="77">
        <f t="shared" si="17"/>
        <v>0</v>
      </c>
      <c r="G27" s="77">
        <f t="shared" si="17"/>
        <v>0</v>
      </c>
      <c r="H27" s="77">
        <f t="shared" si="17"/>
        <v>0</v>
      </c>
      <c r="I27" s="77">
        <f t="shared" si="17"/>
        <v>0</v>
      </c>
      <c r="J27" s="77">
        <f t="shared" si="17"/>
        <v>0</v>
      </c>
      <c r="K27" s="77">
        <f t="shared" si="17"/>
        <v>0</v>
      </c>
      <c r="L27" s="79">
        <f t="shared" si="17"/>
        <v>0</v>
      </c>
      <c r="M27" s="79">
        <f t="shared" si="17"/>
        <v>0</v>
      </c>
      <c r="N27" s="79">
        <f t="shared" si="17"/>
        <v>0</v>
      </c>
      <c r="O27" s="136">
        <f t="shared" ref="O27" si="18">IF(M27,+N27/M27,0)</f>
        <v>0</v>
      </c>
      <c r="P27" s="183">
        <f t="shared" si="17"/>
        <v>0</v>
      </c>
    </row>
    <row r="28" spans="1:17" x14ac:dyDescent="0.25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50"/>
      <c r="M28" s="50"/>
      <c r="N28" s="133"/>
      <c r="P28" s="181"/>
    </row>
    <row r="29" spans="1:17" x14ac:dyDescent="0.25">
      <c r="A29" s="7" t="s">
        <v>16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50"/>
      <c r="M29" s="50"/>
      <c r="N29" s="133"/>
      <c r="P29" s="181"/>
    </row>
    <row r="30" spans="1:17" x14ac:dyDescent="0.25">
      <c r="A30" s="9" t="s">
        <v>17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0">
        <f>SUM(B30:K30)</f>
        <v>0</v>
      </c>
      <c r="M30" s="50">
        <v>0</v>
      </c>
      <c r="N30" s="133">
        <f>+L30-M30</f>
        <v>0</v>
      </c>
      <c r="O30" s="134">
        <f>IF(M30,+N30/M30,0)</f>
        <v>0</v>
      </c>
      <c r="P30" s="181">
        <v>22302.05</v>
      </c>
    </row>
    <row r="31" spans="1:17" x14ac:dyDescent="0.25">
      <c r="A31" s="9" t="s">
        <v>18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50">
        <f>SUM(B31:K31)</f>
        <v>0</v>
      </c>
      <c r="M31" s="50">
        <v>0</v>
      </c>
      <c r="N31" s="133"/>
      <c r="O31" s="134">
        <f t="shared" ref="O31" si="19">IF(M31,+N31/M31,0)</f>
        <v>0</v>
      </c>
      <c r="P31" s="181">
        <v>0</v>
      </c>
    </row>
    <row r="32" spans="1:17" x14ac:dyDescent="0.25">
      <c r="A32" s="12" t="s">
        <v>19</v>
      </c>
      <c r="B32" s="77">
        <f t="shared" ref="B32:P32" si="20">SUM(B30:B31)</f>
        <v>0</v>
      </c>
      <c r="C32" s="77">
        <f t="shared" si="20"/>
        <v>0</v>
      </c>
      <c r="D32" s="77">
        <f t="shared" si="20"/>
        <v>0</v>
      </c>
      <c r="E32" s="77">
        <f t="shared" si="20"/>
        <v>0</v>
      </c>
      <c r="F32" s="77">
        <f t="shared" si="20"/>
        <v>0</v>
      </c>
      <c r="G32" s="77">
        <f t="shared" si="20"/>
        <v>0</v>
      </c>
      <c r="H32" s="77">
        <f t="shared" si="20"/>
        <v>0</v>
      </c>
      <c r="I32" s="77">
        <f t="shared" si="20"/>
        <v>0</v>
      </c>
      <c r="J32" s="77">
        <f t="shared" si="20"/>
        <v>0</v>
      </c>
      <c r="K32" s="77">
        <f t="shared" si="20"/>
        <v>0</v>
      </c>
      <c r="L32" s="78">
        <f t="shared" si="20"/>
        <v>0</v>
      </c>
      <c r="M32" s="79">
        <f t="shared" si="20"/>
        <v>0</v>
      </c>
      <c r="N32" s="137">
        <f>SUM(N30:N31)</f>
        <v>0</v>
      </c>
      <c r="O32" s="136">
        <f t="shared" ref="O32" si="21">IF(M32,+N32/M32,0)</f>
        <v>0</v>
      </c>
      <c r="P32" s="183">
        <f t="shared" si="20"/>
        <v>22302.05</v>
      </c>
    </row>
    <row r="33" spans="1:17" x14ac:dyDescent="0.25">
      <c r="A33" s="9"/>
      <c r="B33" s="8"/>
      <c r="C33" s="8"/>
      <c r="D33" s="8"/>
      <c r="E33" s="8"/>
      <c r="F33" s="8"/>
      <c r="G33" s="8"/>
      <c r="H33" s="8"/>
      <c r="I33" s="8"/>
      <c r="J33" s="8"/>
      <c r="K33" s="8"/>
      <c r="L33" s="50"/>
      <c r="M33" s="50"/>
      <c r="N33" s="133"/>
      <c r="P33" s="181"/>
    </row>
    <row r="34" spans="1:17" x14ac:dyDescent="0.25">
      <c r="A34" s="7" t="s">
        <v>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50"/>
      <c r="M34" s="50"/>
      <c r="N34" s="133"/>
      <c r="P34" s="181"/>
    </row>
    <row r="35" spans="1:17" x14ac:dyDescent="0.25">
      <c r="A35" s="9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50">
        <f t="shared" ref="L35:L40" si="22">SUM(B35:K35)</f>
        <v>0</v>
      </c>
      <c r="M35" s="50">
        <v>0</v>
      </c>
      <c r="N35" s="133">
        <f t="shared" ref="N35:N40" si="23">+L35-M35</f>
        <v>0</v>
      </c>
      <c r="O35" s="134">
        <f t="shared" ref="O35:O37" si="24">IF(M35,+N35/M35,0)</f>
        <v>0</v>
      </c>
      <c r="P35" s="181">
        <v>0</v>
      </c>
    </row>
    <row r="36" spans="1:17" x14ac:dyDescent="0.25">
      <c r="A36" s="9" t="s">
        <v>22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0">
        <f t="shared" si="22"/>
        <v>0</v>
      </c>
      <c r="M36" s="50">
        <v>0</v>
      </c>
      <c r="N36" s="133">
        <f t="shared" si="23"/>
        <v>0</v>
      </c>
      <c r="O36" s="134">
        <f t="shared" si="24"/>
        <v>0</v>
      </c>
      <c r="P36" s="181">
        <v>0</v>
      </c>
    </row>
    <row r="37" spans="1:17" x14ac:dyDescent="0.25">
      <c r="A37" s="9" t="s">
        <v>23</v>
      </c>
      <c r="B37" s="10"/>
      <c r="C37" s="10"/>
      <c r="D37" s="10"/>
      <c r="E37" s="10"/>
      <c r="F37" s="10"/>
      <c r="G37" s="10"/>
      <c r="H37" s="10"/>
      <c r="I37" s="10"/>
      <c r="J37" s="10"/>
      <c r="K37" s="164">
        <v>0</v>
      </c>
      <c r="L37" s="50">
        <f t="shared" si="22"/>
        <v>0</v>
      </c>
      <c r="M37" s="50">
        <v>0</v>
      </c>
      <c r="N37" s="133">
        <f t="shared" si="23"/>
        <v>0</v>
      </c>
      <c r="O37" s="134">
        <f t="shared" si="24"/>
        <v>0</v>
      </c>
      <c r="P37" s="181">
        <v>0</v>
      </c>
    </row>
    <row r="38" spans="1:17" s="62" customFormat="1" x14ac:dyDescent="0.25">
      <c r="A38" s="161" t="s">
        <v>24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4">
        <f>+K192+K221</f>
        <v>5022</v>
      </c>
      <c r="L38" s="50">
        <f t="shared" si="22"/>
        <v>5022</v>
      </c>
      <c r="M38" s="50">
        <v>31033</v>
      </c>
      <c r="N38" s="133">
        <f t="shared" si="23"/>
        <v>-26011</v>
      </c>
      <c r="O38" s="134">
        <f t="shared" ref="O38" si="25">+N38/M38</f>
        <v>-0.83817226823059321</v>
      </c>
      <c r="P38" s="181">
        <v>0</v>
      </c>
      <c r="Q38" s="104" t="s">
        <v>280</v>
      </c>
    </row>
    <row r="39" spans="1:17" x14ac:dyDescent="0.25">
      <c r="A39" s="9" t="s">
        <v>25</v>
      </c>
      <c r="B39" s="10"/>
      <c r="C39" s="10"/>
      <c r="D39" s="10"/>
      <c r="E39" s="10"/>
      <c r="F39" s="10"/>
      <c r="G39" s="10"/>
      <c r="H39" s="10"/>
      <c r="I39" s="10"/>
      <c r="J39" s="10"/>
      <c r="K39" s="162"/>
      <c r="L39" s="50">
        <f t="shared" si="22"/>
        <v>0</v>
      </c>
      <c r="M39" s="50">
        <v>0</v>
      </c>
      <c r="N39" s="133">
        <f t="shared" si="23"/>
        <v>0</v>
      </c>
      <c r="O39" s="134">
        <f t="shared" ref="O39:O41" si="26">IF(M39,+N39/M39,0)</f>
        <v>0</v>
      </c>
      <c r="P39" s="181">
        <v>0</v>
      </c>
    </row>
    <row r="40" spans="1:17" x14ac:dyDescent="0.25">
      <c r="A40" s="9" t="s">
        <v>26</v>
      </c>
      <c r="B40" s="10"/>
      <c r="C40" s="10"/>
      <c r="D40" s="10"/>
      <c r="E40" s="10"/>
      <c r="F40" s="10"/>
      <c r="G40" s="10"/>
      <c r="H40" s="10"/>
      <c r="I40" s="10"/>
      <c r="J40" s="10"/>
      <c r="K40" s="10">
        <v>10000</v>
      </c>
      <c r="L40" s="50">
        <f t="shared" si="22"/>
        <v>10000</v>
      </c>
      <c r="M40" s="50">
        <v>0</v>
      </c>
      <c r="N40" s="133">
        <f t="shared" si="23"/>
        <v>10000</v>
      </c>
      <c r="O40" s="134">
        <f t="shared" si="26"/>
        <v>0</v>
      </c>
      <c r="P40" s="181">
        <v>0</v>
      </c>
      <c r="Q40" s="62" t="s">
        <v>300</v>
      </c>
    </row>
    <row r="41" spans="1:17" x14ac:dyDescent="0.25">
      <c r="A41" s="12" t="s">
        <v>27</v>
      </c>
      <c r="B41" s="77">
        <f t="shared" ref="B41:P41" si="27">SUM(B35:B40)</f>
        <v>0</v>
      </c>
      <c r="C41" s="77">
        <f t="shared" si="27"/>
        <v>0</v>
      </c>
      <c r="D41" s="77">
        <f t="shared" si="27"/>
        <v>0</v>
      </c>
      <c r="E41" s="77">
        <f t="shared" si="27"/>
        <v>0</v>
      </c>
      <c r="F41" s="77">
        <f t="shared" si="27"/>
        <v>0</v>
      </c>
      <c r="G41" s="77">
        <f t="shared" si="27"/>
        <v>0</v>
      </c>
      <c r="H41" s="77">
        <f t="shared" si="27"/>
        <v>0</v>
      </c>
      <c r="I41" s="77">
        <f t="shared" si="27"/>
        <v>0</v>
      </c>
      <c r="J41" s="77">
        <f t="shared" si="27"/>
        <v>0</v>
      </c>
      <c r="K41" s="77">
        <f t="shared" si="27"/>
        <v>15022</v>
      </c>
      <c r="L41" s="78">
        <f t="shared" si="27"/>
        <v>15022</v>
      </c>
      <c r="M41" s="79">
        <f>SUM(M35:M40)</f>
        <v>31033</v>
      </c>
      <c r="N41" s="137">
        <f>SUM(N35:N40)</f>
        <v>-16011</v>
      </c>
      <c r="O41" s="136">
        <f t="shared" si="26"/>
        <v>-0.51593465021106566</v>
      </c>
      <c r="P41" s="183">
        <f t="shared" si="27"/>
        <v>0</v>
      </c>
    </row>
    <row r="42" spans="1:17" x14ac:dyDescent="0.25">
      <c r="A42" s="9"/>
      <c r="B42" s="8"/>
      <c r="C42" s="8"/>
      <c r="D42" s="8"/>
      <c r="E42" s="8"/>
      <c r="F42" s="8"/>
      <c r="G42" s="8"/>
      <c r="H42" s="8"/>
      <c r="I42" s="8"/>
      <c r="J42" s="8"/>
      <c r="K42" s="8"/>
      <c r="L42" s="50"/>
      <c r="M42" s="50"/>
      <c r="N42" s="133"/>
      <c r="P42" s="181"/>
    </row>
    <row r="43" spans="1:17" x14ac:dyDescent="0.25">
      <c r="A43" s="7" t="s">
        <v>28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50"/>
      <c r="M43" s="50"/>
      <c r="N43" s="133"/>
      <c r="P43" s="181"/>
    </row>
    <row r="44" spans="1:17" x14ac:dyDescent="0.25">
      <c r="A44" s="9" t="s">
        <v>29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0">
        <f>SUM(B44:K44)</f>
        <v>0</v>
      </c>
      <c r="M44" s="50">
        <v>0</v>
      </c>
      <c r="N44" s="133">
        <f t="shared" ref="N44:N45" si="28">+L44-M44</f>
        <v>0</v>
      </c>
      <c r="O44" s="134">
        <f t="shared" ref="O44:O46" si="29">IF(M44,+N44/M44,0)</f>
        <v>0</v>
      </c>
      <c r="P44" s="181">
        <v>143.43</v>
      </c>
      <c r="Q44" s="67" t="s">
        <v>261</v>
      </c>
    </row>
    <row r="45" spans="1:17" x14ac:dyDescent="0.25">
      <c r="A45" s="9" t="s">
        <v>28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0">
        <f>SUM(B45:K45)</f>
        <v>0</v>
      </c>
      <c r="M45" s="50">
        <v>0</v>
      </c>
      <c r="N45" s="133">
        <f t="shared" si="28"/>
        <v>0</v>
      </c>
      <c r="O45" s="134">
        <f t="shared" si="29"/>
        <v>0</v>
      </c>
      <c r="P45" s="181">
        <v>2983.93</v>
      </c>
      <c r="Q45" s="67" t="s">
        <v>262</v>
      </c>
    </row>
    <row r="46" spans="1:17" x14ac:dyDescent="0.25">
      <c r="A46" s="12" t="s">
        <v>30</v>
      </c>
      <c r="B46" s="84">
        <f t="shared" ref="B46:M46" si="30">SUM(B44:B45)</f>
        <v>0</v>
      </c>
      <c r="C46" s="84">
        <f t="shared" si="30"/>
        <v>0</v>
      </c>
      <c r="D46" s="84">
        <f t="shared" si="30"/>
        <v>0</v>
      </c>
      <c r="E46" s="84">
        <f t="shared" si="30"/>
        <v>0</v>
      </c>
      <c r="F46" s="84">
        <f t="shared" si="30"/>
        <v>0</v>
      </c>
      <c r="G46" s="84">
        <f t="shared" si="30"/>
        <v>0</v>
      </c>
      <c r="H46" s="84">
        <f t="shared" si="30"/>
        <v>0</v>
      </c>
      <c r="I46" s="84">
        <f t="shared" si="30"/>
        <v>0</v>
      </c>
      <c r="J46" s="84">
        <f t="shared" si="30"/>
        <v>0</v>
      </c>
      <c r="K46" s="84">
        <f t="shared" si="30"/>
        <v>0</v>
      </c>
      <c r="L46" s="82">
        <f t="shared" si="30"/>
        <v>0</v>
      </c>
      <c r="M46" s="85">
        <f t="shared" si="30"/>
        <v>0</v>
      </c>
      <c r="N46" s="138">
        <f>SUM(N44:N45)</f>
        <v>0</v>
      </c>
      <c r="O46" s="136">
        <f t="shared" si="29"/>
        <v>0</v>
      </c>
      <c r="P46" s="184">
        <f>SUM(P44:P45)</f>
        <v>3127.3599999999997</v>
      </c>
    </row>
    <row r="47" spans="1:17" x14ac:dyDescent="0.25">
      <c r="A47" s="25"/>
      <c r="B47" s="26"/>
      <c r="C47" s="13"/>
      <c r="D47" s="13"/>
      <c r="E47" s="13"/>
      <c r="F47" s="13"/>
      <c r="G47" s="13"/>
      <c r="H47" s="13"/>
      <c r="I47" s="13"/>
      <c r="J47" s="13"/>
      <c r="K47" s="13"/>
      <c r="L47" s="56"/>
      <c r="M47" s="52"/>
      <c r="N47" s="139"/>
      <c r="P47" s="187"/>
    </row>
    <row r="48" spans="1:17" s="62" customFormat="1" ht="15.75" customHeight="1" x14ac:dyDescent="0.25">
      <c r="A48" s="153" t="s">
        <v>31</v>
      </c>
      <c r="B48" s="86">
        <f t="shared" ref="B48:M48" si="31">+B9+B16+B21+B27+B32+B41+B46</f>
        <v>481891</v>
      </c>
      <c r="C48" s="86">
        <f t="shared" si="31"/>
        <v>200000</v>
      </c>
      <c r="D48" s="86">
        <f t="shared" si="31"/>
        <v>454207</v>
      </c>
      <c r="E48" s="86">
        <f t="shared" si="31"/>
        <v>12224</v>
      </c>
      <c r="F48" s="86">
        <f t="shared" si="31"/>
        <v>54201</v>
      </c>
      <c r="G48" s="86">
        <f t="shared" si="31"/>
        <v>3458</v>
      </c>
      <c r="H48" s="86">
        <f t="shared" si="31"/>
        <v>5055</v>
      </c>
      <c r="I48" s="86">
        <f t="shared" si="31"/>
        <v>60000</v>
      </c>
      <c r="J48" s="86">
        <f t="shared" si="31"/>
        <v>70000</v>
      </c>
      <c r="K48" s="86">
        <f t="shared" si="31"/>
        <v>15022</v>
      </c>
      <c r="L48" s="79">
        <f t="shared" si="31"/>
        <v>1356058</v>
      </c>
      <c r="M48" s="79">
        <f t="shared" si="31"/>
        <v>1385823</v>
      </c>
      <c r="N48" s="94">
        <f>+N9+N16+N21+N27+N32+N41+N46</f>
        <v>-29765</v>
      </c>
      <c r="O48" s="136">
        <f t="shared" ref="O48" si="32">IF(M48,+N48/M48,0)</f>
        <v>-2.1478211863997062E-2</v>
      </c>
      <c r="P48" s="183">
        <f>+P9+P16+P21+P27+P32+P41+P46</f>
        <v>1263259.9400000002</v>
      </c>
    </row>
    <row r="49" spans="1:17" x14ac:dyDescent="0.25">
      <c r="A49" s="25"/>
      <c r="B49" s="8"/>
      <c r="C49" s="8"/>
      <c r="D49" s="8"/>
      <c r="E49" s="8"/>
      <c r="F49" s="8"/>
      <c r="G49" s="8"/>
      <c r="H49" s="8"/>
      <c r="I49" s="8"/>
      <c r="J49" s="8"/>
      <c r="K49" s="8"/>
      <c r="L49" s="50"/>
      <c r="M49" s="50"/>
      <c r="N49" s="139"/>
      <c r="P49" s="188"/>
    </row>
    <row r="50" spans="1:17" ht="15.75" customHeight="1" x14ac:dyDescent="0.25">
      <c r="A50" s="5" t="s">
        <v>32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50"/>
      <c r="M50" s="50"/>
      <c r="N50" s="139"/>
      <c r="P50" s="181"/>
    </row>
    <row r="51" spans="1:17" x14ac:dyDescent="0.25">
      <c r="A51" s="7" t="s">
        <v>33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50"/>
      <c r="M51" s="50"/>
      <c r="N51" s="139"/>
      <c r="P51" s="181"/>
    </row>
    <row r="52" spans="1:17" x14ac:dyDescent="0.25">
      <c r="A52" s="7" t="s">
        <v>34</v>
      </c>
      <c r="B52" s="10"/>
      <c r="C52" s="110"/>
      <c r="D52" s="110"/>
      <c r="E52" s="110"/>
      <c r="F52" s="110"/>
      <c r="G52" s="110"/>
      <c r="H52" s="110"/>
      <c r="I52" s="110"/>
      <c r="J52" s="110"/>
      <c r="K52" s="10"/>
      <c r="L52" s="50"/>
      <c r="M52" s="50"/>
      <c r="N52" s="139"/>
      <c r="P52" s="181"/>
    </row>
    <row r="53" spans="1:17" x14ac:dyDescent="0.25">
      <c r="A53" s="9" t="s">
        <v>34</v>
      </c>
      <c r="B53" s="97"/>
      <c r="C53" s="110">
        <f>2000-1000</f>
        <v>1000</v>
      </c>
      <c r="D53" s="110"/>
      <c r="E53" s="110"/>
      <c r="F53" s="110"/>
      <c r="G53" s="110"/>
      <c r="H53" s="110"/>
      <c r="I53" s="110"/>
      <c r="J53" s="110"/>
      <c r="K53" s="97"/>
      <c r="L53" s="51">
        <f>SUM(B53:K53)</f>
        <v>1000</v>
      </c>
      <c r="M53" s="51">
        <v>2000</v>
      </c>
      <c r="N53" s="139">
        <f>+L53-M53</f>
        <v>-1000</v>
      </c>
      <c r="O53" s="134">
        <f t="shared" ref="O53" si="33">IF(M53,+N53/M53,0)</f>
        <v>-0.5</v>
      </c>
      <c r="P53" s="181">
        <v>380</v>
      </c>
    </row>
    <row r="54" spans="1:17" x14ac:dyDescent="0.25">
      <c r="A54" s="9" t="s">
        <v>35</v>
      </c>
      <c r="B54" s="97"/>
      <c r="C54" s="110">
        <f>21170-225-2000-3500</f>
        <v>15445</v>
      </c>
      <c r="D54" s="116"/>
      <c r="E54" s="116"/>
      <c r="F54" s="116">
        <v>13000</v>
      </c>
      <c r="G54" s="116"/>
      <c r="H54" s="110">
        <f>+H13</f>
        <v>5055</v>
      </c>
      <c r="I54" s="117">
        <f>6000+3500</f>
        <v>9500</v>
      </c>
      <c r="J54" s="110">
        <v>0</v>
      </c>
      <c r="K54" s="97"/>
      <c r="L54" s="51">
        <f>SUM(B54:K54)</f>
        <v>43000</v>
      </c>
      <c r="M54" s="51">
        <v>45000</v>
      </c>
      <c r="N54" s="139">
        <f t="shared" ref="N54:N57" si="34">+L54-M54</f>
        <v>-2000</v>
      </c>
      <c r="O54" s="134">
        <f t="shared" ref="O54:O58" si="35">IF(M54,+N54/M54,0)</f>
        <v>-4.4444444444444446E-2</v>
      </c>
      <c r="P54" s="181">
        <f>10500+4500</f>
        <v>15000</v>
      </c>
      <c r="Q54" s="67" t="s">
        <v>242</v>
      </c>
    </row>
    <row r="55" spans="1:17" x14ac:dyDescent="0.25">
      <c r="A55" s="9" t="s">
        <v>36</v>
      </c>
      <c r="B55" s="97"/>
      <c r="C55" s="110">
        <f>5000-500</f>
        <v>4500</v>
      </c>
      <c r="D55" s="116"/>
      <c r="E55" s="116"/>
      <c r="F55" s="116"/>
      <c r="G55" s="116"/>
      <c r="H55" s="116"/>
      <c r="I55" s="116"/>
      <c r="J55" s="110"/>
      <c r="K55" s="97"/>
      <c r="L55" s="51">
        <f>SUM(B55:K55)</f>
        <v>4500</v>
      </c>
      <c r="M55" s="51">
        <v>5000</v>
      </c>
      <c r="N55" s="139">
        <f t="shared" si="34"/>
        <v>-500</v>
      </c>
      <c r="O55" s="134">
        <f t="shared" si="35"/>
        <v>-0.1</v>
      </c>
      <c r="P55" s="181">
        <v>5000</v>
      </c>
      <c r="Q55" s="67" t="s">
        <v>243</v>
      </c>
    </row>
    <row r="56" spans="1:17" x14ac:dyDescent="0.25">
      <c r="A56" s="9" t="s">
        <v>37</v>
      </c>
      <c r="B56" s="97"/>
      <c r="C56" s="110">
        <f>10000-1000</f>
        <v>9000</v>
      </c>
      <c r="D56" s="116"/>
      <c r="E56" s="116"/>
      <c r="F56" s="116"/>
      <c r="G56" s="116"/>
      <c r="H56" s="116"/>
      <c r="I56" s="116"/>
      <c r="J56" s="110"/>
      <c r="K56" s="97"/>
      <c r="L56" s="51">
        <f>SUM(B56:K56)</f>
        <v>9000</v>
      </c>
      <c r="M56" s="51">
        <v>10000</v>
      </c>
      <c r="N56" s="139">
        <f t="shared" si="34"/>
        <v>-1000</v>
      </c>
      <c r="O56" s="134">
        <f t="shared" si="35"/>
        <v>-0.1</v>
      </c>
      <c r="P56" s="181">
        <v>9664.85</v>
      </c>
      <c r="Q56" s="67" t="s">
        <v>244</v>
      </c>
    </row>
    <row r="57" spans="1:17" x14ac:dyDescent="0.25">
      <c r="A57" s="9" t="s">
        <v>38</v>
      </c>
      <c r="B57" s="97"/>
      <c r="C57" s="118">
        <v>0</v>
      </c>
      <c r="D57" s="116"/>
      <c r="E57" s="116"/>
      <c r="F57" s="116">
        <v>0</v>
      </c>
      <c r="G57" s="116"/>
      <c r="H57" s="116"/>
      <c r="I57" s="116">
        <f>54000-3500</f>
        <v>50500</v>
      </c>
      <c r="J57" s="110"/>
      <c r="K57" s="97"/>
      <c r="L57" s="51">
        <f>SUM(B57:K57)</f>
        <v>50500</v>
      </c>
      <c r="M57" s="51">
        <v>54000</v>
      </c>
      <c r="N57" s="139">
        <f t="shared" si="34"/>
        <v>-3500</v>
      </c>
      <c r="O57" s="134">
        <f t="shared" si="35"/>
        <v>-6.4814814814814811E-2</v>
      </c>
      <c r="P57" s="181">
        <v>19000</v>
      </c>
      <c r="Q57" s="67" t="s">
        <v>245</v>
      </c>
    </row>
    <row r="58" spans="1:17" x14ac:dyDescent="0.25">
      <c r="A58" s="33" t="s">
        <v>196</v>
      </c>
      <c r="B58" s="77">
        <f t="shared" ref="B58:M58" si="36">SUM(B53:B57)</f>
        <v>0</v>
      </c>
      <c r="C58" s="77">
        <f t="shared" si="36"/>
        <v>29945</v>
      </c>
      <c r="D58" s="77">
        <f t="shared" si="36"/>
        <v>0</v>
      </c>
      <c r="E58" s="77">
        <f t="shared" si="36"/>
        <v>0</v>
      </c>
      <c r="F58" s="77">
        <f t="shared" si="36"/>
        <v>13000</v>
      </c>
      <c r="G58" s="77">
        <f t="shared" si="36"/>
        <v>0</v>
      </c>
      <c r="H58" s="77">
        <f t="shared" si="36"/>
        <v>5055</v>
      </c>
      <c r="I58" s="77">
        <f t="shared" si="36"/>
        <v>60000</v>
      </c>
      <c r="J58" s="77">
        <f t="shared" si="36"/>
        <v>0</v>
      </c>
      <c r="K58" s="77">
        <f t="shared" si="36"/>
        <v>0</v>
      </c>
      <c r="L58" s="88">
        <f t="shared" si="36"/>
        <v>108000</v>
      </c>
      <c r="M58" s="87">
        <f t="shared" si="36"/>
        <v>116000</v>
      </c>
      <c r="N58" s="138">
        <f>SUM(N53:N57)</f>
        <v>-8000</v>
      </c>
      <c r="O58" s="136">
        <f t="shared" si="35"/>
        <v>-6.8965517241379309E-2</v>
      </c>
      <c r="P58" s="189">
        <f>SUM(P53:P57)</f>
        <v>49044.85</v>
      </c>
    </row>
    <row r="59" spans="1:17" x14ac:dyDescent="0.25">
      <c r="A59" s="7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53"/>
      <c r="M59" s="53"/>
      <c r="N59" s="139"/>
      <c r="P59" s="185"/>
    </row>
    <row r="60" spans="1:17" x14ac:dyDescent="0.25">
      <c r="A60" s="7" t="s">
        <v>39</v>
      </c>
      <c r="B60" s="10"/>
      <c r="C60" s="10"/>
      <c r="D60" s="10"/>
      <c r="E60" s="10"/>
      <c r="F60" s="97"/>
      <c r="G60" s="98"/>
      <c r="H60" s="10"/>
      <c r="I60" s="10"/>
      <c r="J60" s="10"/>
      <c r="K60" s="10"/>
      <c r="L60" s="50"/>
      <c r="M60" s="50"/>
      <c r="N60" s="139"/>
      <c r="P60" s="181"/>
    </row>
    <row r="61" spans="1:17" x14ac:dyDescent="0.25">
      <c r="A61" s="9" t="s">
        <v>317</v>
      </c>
      <c r="B61" s="10"/>
      <c r="C61" s="10"/>
      <c r="D61" s="162">
        <v>67500</v>
      </c>
      <c r="E61" s="10"/>
      <c r="F61" s="10"/>
      <c r="G61" s="10"/>
      <c r="H61" s="10"/>
      <c r="I61" s="10"/>
      <c r="J61" s="10"/>
      <c r="K61" s="10"/>
      <c r="L61" s="51">
        <f t="shared" ref="L61:L67" si="37">SUM(B61:K61)</f>
        <v>67500</v>
      </c>
      <c r="M61" s="51">
        <v>40000</v>
      </c>
      <c r="N61" s="139">
        <f t="shared" ref="N61:N67" si="38">+L61-M61</f>
        <v>27500</v>
      </c>
      <c r="O61" s="134">
        <f t="shared" ref="O61:O68" si="39">IF(M61,+N61/M61,0)</f>
        <v>0.6875</v>
      </c>
      <c r="P61" s="181">
        <v>37369</v>
      </c>
    </row>
    <row r="62" spans="1:17" x14ac:dyDescent="0.25">
      <c r="A62" s="9" t="s">
        <v>318</v>
      </c>
      <c r="B62" s="10"/>
      <c r="C62" s="10"/>
      <c r="D62" s="162">
        <v>0</v>
      </c>
      <c r="E62" s="10"/>
      <c r="F62" s="10"/>
      <c r="G62" s="10"/>
      <c r="H62" s="10"/>
      <c r="I62" s="10"/>
      <c r="J62" s="10"/>
      <c r="K62" s="10"/>
      <c r="L62" s="51">
        <f t="shared" si="37"/>
        <v>0</v>
      </c>
      <c r="M62" s="51">
        <v>27500</v>
      </c>
      <c r="N62" s="139">
        <f t="shared" si="38"/>
        <v>-27500</v>
      </c>
      <c r="O62" s="134">
        <f t="shared" si="39"/>
        <v>-1</v>
      </c>
      <c r="P62" s="181">
        <v>37369</v>
      </c>
    </row>
    <row r="63" spans="1:17" x14ac:dyDescent="0.25">
      <c r="A63" s="9" t="s">
        <v>319</v>
      </c>
      <c r="B63" s="10"/>
      <c r="C63" s="10"/>
      <c r="D63" s="162">
        <v>0</v>
      </c>
      <c r="E63" s="10"/>
      <c r="F63" s="10"/>
      <c r="G63" s="10"/>
      <c r="H63" s="10"/>
      <c r="I63" s="10"/>
      <c r="J63" s="10"/>
      <c r="K63" s="10"/>
      <c r="L63" s="51">
        <f t="shared" si="37"/>
        <v>0</v>
      </c>
      <c r="M63" s="51">
        <v>18678</v>
      </c>
      <c r="N63" s="139">
        <f t="shared" si="38"/>
        <v>-18678</v>
      </c>
      <c r="O63" s="134">
        <f t="shared" si="39"/>
        <v>-1</v>
      </c>
      <c r="P63" s="181">
        <v>18678</v>
      </c>
      <c r="Q63" s="104" t="s">
        <v>266</v>
      </c>
    </row>
    <row r="64" spans="1:17" x14ac:dyDescent="0.25">
      <c r="A64" s="9" t="s">
        <v>320</v>
      </c>
      <c r="B64" s="10"/>
      <c r="C64" s="10"/>
      <c r="D64" s="162">
        <v>0</v>
      </c>
      <c r="E64" s="10"/>
      <c r="F64" s="10"/>
      <c r="G64" s="10"/>
      <c r="H64" s="10"/>
      <c r="I64" s="10"/>
      <c r="J64" s="10"/>
      <c r="K64" s="10"/>
      <c r="L64" s="51">
        <f t="shared" si="37"/>
        <v>0</v>
      </c>
      <c r="M64" s="51">
        <v>5164</v>
      </c>
      <c r="N64" s="139">
        <f t="shared" si="38"/>
        <v>-5164</v>
      </c>
      <c r="O64" s="134">
        <f t="shared" si="39"/>
        <v>-1</v>
      </c>
      <c r="P64" s="181">
        <v>5712</v>
      </c>
    </row>
    <row r="65" spans="1:18" x14ac:dyDescent="0.25">
      <c r="A65" s="9" t="s">
        <v>321</v>
      </c>
      <c r="B65" s="10"/>
      <c r="C65" s="10"/>
      <c r="D65" s="162">
        <v>0</v>
      </c>
      <c r="E65" s="10"/>
      <c r="F65" s="10"/>
      <c r="G65" s="10"/>
      <c r="H65" s="10"/>
      <c r="I65" s="10"/>
      <c r="J65" s="10"/>
      <c r="K65" s="10"/>
      <c r="L65" s="51">
        <f t="shared" si="37"/>
        <v>0</v>
      </c>
      <c r="M65" s="51">
        <v>1000</v>
      </c>
      <c r="N65" s="139">
        <f t="shared" si="38"/>
        <v>-1000</v>
      </c>
      <c r="O65" s="134">
        <f t="shared" si="39"/>
        <v>-1</v>
      </c>
      <c r="P65" s="181">
        <v>1000</v>
      </c>
    </row>
    <row r="66" spans="1:18" x14ac:dyDescent="0.25">
      <c r="A66" s="9" t="s">
        <v>323</v>
      </c>
      <c r="B66" s="10"/>
      <c r="C66" s="10"/>
      <c r="D66" s="162">
        <v>4425</v>
      </c>
      <c r="E66" s="10"/>
      <c r="F66" s="10"/>
      <c r="G66" s="10"/>
      <c r="H66" s="10"/>
      <c r="I66" s="10"/>
      <c r="J66" s="10"/>
      <c r="K66" s="10"/>
      <c r="L66" s="51">
        <f t="shared" si="37"/>
        <v>4425</v>
      </c>
      <c r="M66" s="51">
        <v>4425</v>
      </c>
      <c r="N66" s="139">
        <f t="shared" si="38"/>
        <v>0</v>
      </c>
      <c r="O66" s="134">
        <f t="shared" si="39"/>
        <v>0</v>
      </c>
      <c r="P66" s="181">
        <v>2820</v>
      </c>
    </row>
    <row r="67" spans="1:18" x14ac:dyDescent="0.25">
      <c r="A67" s="9" t="s">
        <v>322</v>
      </c>
      <c r="B67" s="16"/>
      <c r="C67" s="16"/>
      <c r="D67" s="162">
        <v>0</v>
      </c>
      <c r="E67" s="16"/>
      <c r="F67" s="16"/>
      <c r="G67" s="16"/>
      <c r="H67" s="16"/>
      <c r="I67" s="16"/>
      <c r="J67" s="16"/>
      <c r="K67" s="16"/>
      <c r="L67" s="51">
        <f t="shared" si="37"/>
        <v>0</v>
      </c>
      <c r="M67" s="51">
        <v>4000</v>
      </c>
      <c r="N67" s="139">
        <f t="shared" si="38"/>
        <v>-4000</v>
      </c>
      <c r="O67" s="134">
        <f t="shared" si="39"/>
        <v>-1</v>
      </c>
      <c r="P67" s="181">
        <v>1454</v>
      </c>
    </row>
    <row r="68" spans="1:18" x14ac:dyDescent="0.25">
      <c r="A68" s="33" t="s">
        <v>265</v>
      </c>
      <c r="B68" s="77">
        <f t="shared" ref="B68:P68" si="40">SUM(B61:B67)</f>
        <v>0</v>
      </c>
      <c r="C68" s="77">
        <f t="shared" si="40"/>
        <v>0</v>
      </c>
      <c r="D68" s="77">
        <f t="shared" si="40"/>
        <v>71925</v>
      </c>
      <c r="E68" s="77">
        <f t="shared" si="40"/>
        <v>0</v>
      </c>
      <c r="F68" s="77">
        <f t="shared" si="40"/>
        <v>0</v>
      </c>
      <c r="G68" s="77">
        <f t="shared" si="40"/>
        <v>0</v>
      </c>
      <c r="H68" s="77">
        <f t="shared" si="40"/>
        <v>0</v>
      </c>
      <c r="I68" s="77">
        <f t="shared" si="40"/>
        <v>0</v>
      </c>
      <c r="J68" s="77">
        <f t="shared" si="40"/>
        <v>0</v>
      </c>
      <c r="K68" s="77">
        <f t="shared" si="40"/>
        <v>0</v>
      </c>
      <c r="L68" s="78">
        <f t="shared" si="40"/>
        <v>71925</v>
      </c>
      <c r="M68" s="79">
        <f t="shared" si="40"/>
        <v>100767</v>
      </c>
      <c r="N68" s="138">
        <f>SUM(N61:N67)</f>
        <v>-28842</v>
      </c>
      <c r="O68" s="136">
        <f t="shared" si="39"/>
        <v>-0.28622465688171722</v>
      </c>
      <c r="P68" s="183">
        <f t="shared" si="40"/>
        <v>104402</v>
      </c>
    </row>
    <row r="69" spans="1:18" x14ac:dyDescent="0.25">
      <c r="A69" s="3"/>
      <c r="B69" s="10"/>
      <c r="C69" s="162"/>
      <c r="D69" s="162"/>
      <c r="E69" s="10"/>
      <c r="F69" s="10"/>
      <c r="G69" s="10"/>
      <c r="H69" s="10"/>
      <c r="I69" s="10"/>
      <c r="J69" s="10"/>
      <c r="K69" s="10"/>
      <c r="L69" s="50"/>
      <c r="M69" s="50"/>
      <c r="N69" s="139"/>
      <c r="P69" s="181"/>
    </row>
    <row r="70" spans="1:18" s="62" customFormat="1" x14ac:dyDescent="0.25">
      <c r="A70" s="161" t="s">
        <v>40</v>
      </c>
      <c r="B70" s="162"/>
      <c r="C70" s="162">
        <v>6135</v>
      </c>
      <c r="D70" s="162">
        <v>4090</v>
      </c>
      <c r="E70" s="162"/>
      <c r="F70" s="162"/>
      <c r="G70" s="162"/>
      <c r="H70" s="162"/>
      <c r="I70" s="162"/>
      <c r="J70" s="162"/>
      <c r="K70" s="162"/>
      <c r="L70" s="51">
        <f>SUM(B70:K70)</f>
        <v>10225</v>
      </c>
      <c r="M70" s="51">
        <v>10000</v>
      </c>
      <c r="N70" s="139">
        <f t="shared" ref="N70:N73" si="41">+L70-M70</f>
        <v>225</v>
      </c>
      <c r="O70" s="176">
        <f t="shared" ref="O70:O78" si="42">IF(M70,+N70/M70,0)</f>
        <v>2.2499999999999999E-2</v>
      </c>
      <c r="P70" s="181">
        <f>6000+3619</f>
        <v>9619</v>
      </c>
      <c r="Q70" s="62" t="s">
        <v>302</v>
      </c>
    </row>
    <row r="71" spans="1:18" s="62" customFormat="1" x14ac:dyDescent="0.25">
      <c r="A71" s="161" t="s">
        <v>41</v>
      </c>
      <c r="B71" s="162"/>
      <c r="C71" s="157">
        <f>+C70*0.0765</f>
        <v>469.32749999999999</v>
      </c>
      <c r="D71" s="157">
        <f>+D70*0.0765</f>
        <v>312.88499999999999</v>
      </c>
      <c r="E71" s="162"/>
      <c r="F71" s="162"/>
      <c r="G71" s="162"/>
      <c r="H71" s="162"/>
      <c r="I71" s="162"/>
      <c r="J71" s="162"/>
      <c r="K71" s="162"/>
      <c r="L71" s="51">
        <f>SUM(B71:K71)</f>
        <v>782.21249999999998</v>
      </c>
      <c r="M71" s="51">
        <v>765</v>
      </c>
      <c r="N71" s="139">
        <f t="shared" si="41"/>
        <v>17.212499999999977</v>
      </c>
      <c r="O71" s="134">
        <f t="shared" si="42"/>
        <v>2.2499999999999971E-2</v>
      </c>
      <c r="P71" s="181">
        <v>736</v>
      </c>
    </row>
    <row r="72" spans="1:18" x14ac:dyDescent="0.25">
      <c r="A72" s="9" t="s">
        <v>42</v>
      </c>
      <c r="B72" s="10"/>
      <c r="C72" s="162"/>
      <c r="D72" s="162"/>
      <c r="E72" s="10"/>
      <c r="F72" s="10"/>
      <c r="G72" s="10"/>
      <c r="H72" s="10"/>
      <c r="I72" s="10"/>
      <c r="J72" s="10"/>
      <c r="K72" s="10"/>
      <c r="L72" s="51">
        <f>SUM(B72:K72)</f>
        <v>0</v>
      </c>
      <c r="M72" s="51">
        <v>0</v>
      </c>
      <c r="N72" s="139">
        <f t="shared" si="41"/>
        <v>0</v>
      </c>
      <c r="O72" s="134">
        <f t="shared" si="42"/>
        <v>0</v>
      </c>
      <c r="P72" s="181">
        <v>0</v>
      </c>
    </row>
    <row r="73" spans="1:18" x14ac:dyDescent="0.25">
      <c r="A73" s="9" t="s">
        <v>43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51">
        <f>SUM(B73:K73)</f>
        <v>0</v>
      </c>
      <c r="M73" s="51"/>
      <c r="N73" s="139">
        <f t="shared" si="41"/>
        <v>0</v>
      </c>
      <c r="O73" s="134">
        <f t="shared" si="42"/>
        <v>0</v>
      </c>
      <c r="P73" s="181">
        <v>0</v>
      </c>
    </row>
    <row r="74" spans="1:18" x14ac:dyDescent="0.25">
      <c r="A74" s="12" t="s">
        <v>44</v>
      </c>
      <c r="B74" s="77">
        <f t="shared" ref="B74:P74" si="43">SUM(B70:B73)</f>
        <v>0</v>
      </c>
      <c r="C74" s="86">
        <f t="shared" si="43"/>
        <v>6604.3275000000003</v>
      </c>
      <c r="D74" s="86">
        <f t="shared" si="43"/>
        <v>4402.8850000000002</v>
      </c>
      <c r="E74" s="77">
        <f t="shared" si="43"/>
        <v>0</v>
      </c>
      <c r="F74" s="77">
        <f t="shared" si="43"/>
        <v>0</v>
      </c>
      <c r="G74" s="77">
        <f t="shared" si="43"/>
        <v>0</v>
      </c>
      <c r="H74" s="77">
        <f t="shared" si="43"/>
        <v>0</v>
      </c>
      <c r="I74" s="77"/>
      <c r="J74" s="77">
        <f t="shared" si="43"/>
        <v>0</v>
      </c>
      <c r="K74" s="77">
        <f t="shared" si="43"/>
        <v>0</v>
      </c>
      <c r="L74" s="78">
        <f t="shared" si="43"/>
        <v>11007.2125</v>
      </c>
      <c r="M74" s="79">
        <f t="shared" si="43"/>
        <v>10765</v>
      </c>
      <c r="N74" s="138">
        <f>SUM(N70:N73)</f>
        <v>242.21249999999998</v>
      </c>
      <c r="O74" s="136">
        <f t="shared" si="42"/>
        <v>2.2499999999999999E-2</v>
      </c>
      <c r="P74" s="183">
        <f t="shared" si="43"/>
        <v>10355</v>
      </c>
      <c r="R74" s="18"/>
    </row>
    <row r="75" spans="1:18" x14ac:dyDescent="0.25">
      <c r="A75" s="3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76"/>
      <c r="M75" s="76"/>
      <c r="N75" s="139"/>
      <c r="P75" s="186"/>
    </row>
    <row r="76" spans="1:18" x14ac:dyDescent="0.25">
      <c r="A76" s="30" t="s">
        <v>45</v>
      </c>
      <c r="B76" s="84">
        <f t="shared" ref="B76:P76" si="44">+B68+B74</f>
        <v>0</v>
      </c>
      <c r="C76" s="84">
        <f t="shared" si="44"/>
        <v>6604.3275000000003</v>
      </c>
      <c r="D76" s="84">
        <f t="shared" si="44"/>
        <v>76327.884999999995</v>
      </c>
      <c r="E76" s="84">
        <f t="shared" si="44"/>
        <v>0</v>
      </c>
      <c r="F76" s="84">
        <f t="shared" si="44"/>
        <v>0</v>
      </c>
      <c r="G76" s="84">
        <f t="shared" si="44"/>
        <v>0</v>
      </c>
      <c r="H76" s="84">
        <f t="shared" si="44"/>
        <v>0</v>
      </c>
      <c r="I76" s="84"/>
      <c r="J76" s="84">
        <f t="shared" si="44"/>
        <v>0</v>
      </c>
      <c r="K76" s="84">
        <f t="shared" si="44"/>
        <v>0</v>
      </c>
      <c r="L76" s="82">
        <f t="shared" si="44"/>
        <v>82932.212499999994</v>
      </c>
      <c r="M76" s="85">
        <f t="shared" ref="M76" si="45">+M68+M74</f>
        <v>111532</v>
      </c>
      <c r="N76" s="140">
        <f t="shared" ref="N76" si="46">+N68+N74</f>
        <v>-28599.787499999999</v>
      </c>
      <c r="O76" s="136">
        <f t="shared" si="42"/>
        <v>-0.25642674299752538</v>
      </c>
      <c r="P76" s="184">
        <f t="shared" si="44"/>
        <v>114757</v>
      </c>
    </row>
    <row r="77" spans="1:18" x14ac:dyDescent="0.25">
      <c r="A77" s="3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76"/>
      <c r="M77" s="76"/>
      <c r="N77" s="141"/>
      <c r="P77" s="186"/>
    </row>
    <row r="78" spans="1:18" s="62" customFormat="1" x14ac:dyDescent="0.25">
      <c r="A78" s="155" t="s">
        <v>46</v>
      </c>
      <c r="B78" s="154">
        <f t="shared" ref="B78:P78" si="47">+B58+B76</f>
        <v>0</v>
      </c>
      <c r="C78" s="154">
        <f t="shared" si="47"/>
        <v>36549.327499999999</v>
      </c>
      <c r="D78" s="154">
        <f t="shared" si="47"/>
        <v>76327.884999999995</v>
      </c>
      <c r="E78" s="154">
        <f t="shared" si="47"/>
        <v>0</v>
      </c>
      <c r="F78" s="154">
        <f t="shared" si="47"/>
        <v>13000</v>
      </c>
      <c r="G78" s="154">
        <f t="shared" si="47"/>
        <v>0</v>
      </c>
      <c r="H78" s="154">
        <f t="shared" si="47"/>
        <v>5055</v>
      </c>
      <c r="I78" s="154">
        <f t="shared" si="47"/>
        <v>60000</v>
      </c>
      <c r="J78" s="154">
        <f t="shared" si="47"/>
        <v>0</v>
      </c>
      <c r="K78" s="154">
        <f t="shared" si="47"/>
        <v>0</v>
      </c>
      <c r="L78" s="82">
        <f t="shared" si="47"/>
        <v>190932.21249999999</v>
      </c>
      <c r="M78" s="85">
        <f t="shared" ref="M78" si="48">+M58+M76</f>
        <v>227532</v>
      </c>
      <c r="N78" s="140">
        <f t="shared" ref="N78" si="49">+N58+N76</f>
        <v>-36599.787499999999</v>
      </c>
      <c r="O78" s="136">
        <f t="shared" si="42"/>
        <v>-0.16085556097603854</v>
      </c>
      <c r="P78" s="184">
        <f t="shared" si="47"/>
        <v>163801.85</v>
      </c>
    </row>
    <row r="79" spans="1:18" x14ac:dyDescent="0.25">
      <c r="A79" s="3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76"/>
      <c r="M79" s="76"/>
      <c r="N79" s="139"/>
      <c r="P79" s="186"/>
    </row>
    <row r="80" spans="1:18" x14ac:dyDescent="0.25">
      <c r="A80" s="7" t="s">
        <v>47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50"/>
      <c r="M80" s="50"/>
      <c r="N80" s="139"/>
      <c r="P80" s="181"/>
    </row>
    <row r="81" spans="1:17" x14ac:dyDescent="0.25">
      <c r="A81" s="9" t="s">
        <v>48</v>
      </c>
      <c r="B81" s="10"/>
      <c r="C81" s="28">
        <v>0</v>
      </c>
      <c r="D81" s="10"/>
      <c r="E81" s="10"/>
      <c r="F81" s="10"/>
      <c r="G81" s="10"/>
      <c r="H81" s="10"/>
      <c r="I81" s="10"/>
      <c r="J81" s="10"/>
      <c r="K81" s="10"/>
      <c r="L81" s="55">
        <f t="shared" ref="L81:L93" si="50">SUM(B81:K81)</f>
        <v>0</v>
      </c>
      <c r="M81" s="55"/>
      <c r="N81" s="141"/>
      <c r="O81" s="142"/>
      <c r="P81" s="181">
        <v>0</v>
      </c>
    </row>
    <row r="82" spans="1:17" x14ac:dyDescent="0.25">
      <c r="A82" s="9" t="s">
        <v>49</v>
      </c>
      <c r="B82" s="10"/>
      <c r="C82" s="10">
        <v>14100</v>
      </c>
      <c r="D82" s="10"/>
      <c r="E82" s="10"/>
      <c r="F82" s="10"/>
      <c r="G82" s="10"/>
      <c r="H82" s="10"/>
      <c r="I82" s="10"/>
      <c r="J82" s="10"/>
      <c r="K82" s="10"/>
      <c r="L82" s="51">
        <f t="shared" si="50"/>
        <v>14100</v>
      </c>
      <c r="M82" s="51">
        <v>18000</v>
      </c>
      <c r="N82" s="139">
        <f t="shared" ref="N82:N97" si="51">+L82-M82</f>
        <v>-3900</v>
      </c>
      <c r="O82" s="134">
        <f t="shared" ref="O82:O98" si="52">IF(M82,+N82/M82,0)</f>
        <v>-0.21666666666666667</v>
      </c>
      <c r="P82" s="181">
        <v>8954.4</v>
      </c>
    </row>
    <row r="83" spans="1:17" x14ac:dyDescent="0.25">
      <c r="A83" s="9" t="s">
        <v>50</v>
      </c>
      <c r="B83" s="10"/>
      <c r="C83" s="10">
        <v>1800</v>
      </c>
      <c r="D83" s="10"/>
      <c r="E83" s="10"/>
      <c r="F83" s="10"/>
      <c r="G83" s="10"/>
      <c r="H83" s="10"/>
      <c r="I83" s="10"/>
      <c r="J83" s="10"/>
      <c r="K83" s="10"/>
      <c r="L83" s="51">
        <f t="shared" si="50"/>
        <v>1800</v>
      </c>
      <c r="M83" s="51">
        <v>1800</v>
      </c>
      <c r="N83" s="139">
        <f t="shared" si="51"/>
        <v>0</v>
      </c>
      <c r="O83" s="134">
        <f t="shared" si="52"/>
        <v>0</v>
      </c>
      <c r="P83" s="181">
        <v>1800</v>
      </c>
    </row>
    <row r="84" spans="1:17" x14ac:dyDescent="0.25">
      <c r="A84" s="9" t="s">
        <v>51</v>
      </c>
      <c r="B84" s="10"/>
      <c r="C84" s="10">
        <v>15700</v>
      </c>
      <c r="D84" s="10"/>
      <c r="E84" s="10"/>
      <c r="F84" s="10"/>
      <c r="G84" s="10"/>
      <c r="H84" s="10"/>
      <c r="I84" s="10"/>
      <c r="J84" s="10"/>
      <c r="K84" s="10"/>
      <c r="L84" s="51">
        <f t="shared" si="50"/>
        <v>15700</v>
      </c>
      <c r="M84" s="51">
        <v>17000</v>
      </c>
      <c r="N84" s="139">
        <f t="shared" si="51"/>
        <v>-1300</v>
      </c>
      <c r="O84" s="134">
        <f t="shared" si="52"/>
        <v>-7.6470588235294124E-2</v>
      </c>
      <c r="P84" s="181">
        <v>14103.69</v>
      </c>
    </row>
    <row r="85" spans="1:17" x14ac:dyDescent="0.25">
      <c r="A85" s="9" t="s">
        <v>52</v>
      </c>
      <c r="B85" s="10"/>
      <c r="C85" s="10">
        <v>1800</v>
      </c>
      <c r="D85" s="10"/>
      <c r="E85" s="10"/>
      <c r="F85" s="10"/>
      <c r="G85" s="10"/>
      <c r="H85" s="10"/>
      <c r="I85" s="10"/>
      <c r="J85" s="10"/>
      <c r="K85" s="10"/>
      <c r="L85" s="51">
        <f t="shared" si="50"/>
        <v>1800</v>
      </c>
      <c r="M85" s="51">
        <v>1800</v>
      </c>
      <c r="N85" s="139">
        <f t="shared" si="51"/>
        <v>0</v>
      </c>
      <c r="O85" s="134">
        <f t="shared" si="52"/>
        <v>0</v>
      </c>
      <c r="P85" s="181">
        <v>1800</v>
      </c>
    </row>
    <row r="86" spans="1:17" x14ac:dyDescent="0.25">
      <c r="A86" s="9" t="s">
        <v>53</v>
      </c>
      <c r="B86" s="10"/>
      <c r="C86" s="110">
        <f>20000-2500</f>
        <v>17500</v>
      </c>
      <c r="D86" s="10"/>
      <c r="E86" s="10"/>
      <c r="F86" s="10"/>
      <c r="G86" s="10"/>
      <c r="H86" s="10"/>
      <c r="I86" s="10"/>
      <c r="J86" s="10"/>
      <c r="K86" s="10"/>
      <c r="L86" s="51">
        <f t="shared" si="50"/>
        <v>17500</v>
      </c>
      <c r="M86" s="51">
        <v>20000</v>
      </c>
      <c r="N86" s="139">
        <f t="shared" si="51"/>
        <v>-2500</v>
      </c>
      <c r="O86" s="134">
        <f t="shared" si="52"/>
        <v>-0.125</v>
      </c>
      <c r="P86" s="181">
        <v>19595.61</v>
      </c>
    </row>
    <row r="87" spans="1:17" x14ac:dyDescent="0.25">
      <c r="A87" s="9" t="s">
        <v>54</v>
      </c>
      <c r="B87" s="10"/>
      <c r="C87" s="10">
        <v>1800</v>
      </c>
      <c r="D87" s="10"/>
      <c r="E87" s="10"/>
      <c r="F87" s="10"/>
      <c r="G87" s="10"/>
      <c r="H87" s="10"/>
      <c r="I87" s="10"/>
      <c r="J87" s="10"/>
      <c r="K87" s="10"/>
      <c r="L87" s="51">
        <f t="shared" si="50"/>
        <v>1800</v>
      </c>
      <c r="M87" s="51">
        <v>1800</v>
      </c>
      <c r="N87" s="139">
        <f t="shared" si="51"/>
        <v>0</v>
      </c>
      <c r="O87" s="134">
        <f t="shared" si="52"/>
        <v>0</v>
      </c>
      <c r="P87" s="181">
        <v>1800</v>
      </c>
    </row>
    <row r="88" spans="1:17" x14ac:dyDescent="0.25">
      <c r="A88" s="9" t="s">
        <v>55</v>
      </c>
      <c r="B88" s="10"/>
      <c r="C88" s="10">
        <v>15700</v>
      </c>
      <c r="D88" s="10"/>
      <c r="E88" s="10"/>
      <c r="F88" s="10"/>
      <c r="G88" s="10"/>
      <c r="H88" s="10"/>
      <c r="I88" s="10"/>
      <c r="J88" s="10"/>
      <c r="K88" s="10"/>
      <c r="L88" s="51">
        <f t="shared" si="50"/>
        <v>15700</v>
      </c>
      <c r="M88" s="51">
        <v>18200</v>
      </c>
      <c r="N88" s="139">
        <f t="shared" si="51"/>
        <v>-2500</v>
      </c>
      <c r="O88" s="134">
        <f t="shared" si="52"/>
        <v>-0.13736263736263737</v>
      </c>
      <c r="P88" s="181">
        <v>18200</v>
      </c>
    </row>
    <row r="89" spans="1:17" x14ac:dyDescent="0.25">
      <c r="A89" s="9" t="s">
        <v>56</v>
      </c>
      <c r="B89" s="10"/>
      <c r="C89" s="10">
        <v>1800</v>
      </c>
      <c r="D89" s="10"/>
      <c r="E89" s="10"/>
      <c r="F89" s="10"/>
      <c r="G89" s="10"/>
      <c r="H89" s="10"/>
      <c r="I89" s="10"/>
      <c r="J89" s="10"/>
      <c r="K89" s="10"/>
      <c r="L89" s="51">
        <f t="shared" si="50"/>
        <v>1800</v>
      </c>
      <c r="M89" s="51">
        <v>1800</v>
      </c>
      <c r="N89" s="139">
        <f t="shared" si="51"/>
        <v>0</v>
      </c>
      <c r="O89" s="134">
        <f t="shared" si="52"/>
        <v>0</v>
      </c>
      <c r="P89" s="181">
        <v>1800</v>
      </c>
    </row>
    <row r="90" spans="1:17" x14ac:dyDescent="0.25">
      <c r="A90" s="9" t="s">
        <v>57</v>
      </c>
      <c r="B90" s="10"/>
      <c r="C90" s="10">
        <v>11500</v>
      </c>
      <c r="D90" s="10"/>
      <c r="E90" s="10"/>
      <c r="F90" s="10"/>
      <c r="G90" s="10"/>
      <c r="H90" s="10"/>
      <c r="I90" s="10"/>
      <c r="J90" s="10"/>
      <c r="K90" s="10"/>
      <c r="L90" s="51">
        <f t="shared" si="50"/>
        <v>11500</v>
      </c>
      <c r="M90" s="51">
        <v>18200</v>
      </c>
      <c r="N90" s="139">
        <f t="shared" si="51"/>
        <v>-6700</v>
      </c>
      <c r="O90" s="134">
        <f t="shared" si="52"/>
        <v>-0.36813186813186816</v>
      </c>
      <c r="P90" s="181">
        <v>2754.33</v>
      </c>
      <c r="Q90" s="69" t="s">
        <v>247</v>
      </c>
    </row>
    <row r="91" spans="1:17" x14ac:dyDescent="0.25">
      <c r="A91" s="9" t="s">
        <v>58</v>
      </c>
      <c r="B91" s="10"/>
      <c r="C91" s="10">
        <v>6000</v>
      </c>
      <c r="D91" s="10"/>
      <c r="E91" s="10"/>
      <c r="F91" s="10"/>
      <c r="G91" s="10"/>
      <c r="H91" s="10"/>
      <c r="I91" s="10"/>
      <c r="J91" s="10"/>
      <c r="K91" s="10"/>
      <c r="L91" s="51">
        <f t="shared" si="50"/>
        <v>6000</v>
      </c>
      <c r="M91" s="51">
        <v>1800</v>
      </c>
      <c r="N91" s="139">
        <f t="shared" si="51"/>
        <v>4200</v>
      </c>
      <c r="O91" s="134">
        <f t="shared" si="52"/>
        <v>2.3333333333333335</v>
      </c>
      <c r="P91" s="181">
        <v>1425</v>
      </c>
    </row>
    <row r="92" spans="1:17" x14ac:dyDescent="0.25">
      <c r="A92" s="9" t="s">
        <v>59</v>
      </c>
      <c r="B92" s="10"/>
      <c r="C92" s="10">
        <v>17500</v>
      </c>
      <c r="D92" s="10"/>
      <c r="E92" s="10"/>
      <c r="F92" s="10"/>
      <c r="G92" s="10"/>
      <c r="H92" s="10"/>
      <c r="I92" s="10"/>
      <c r="J92" s="10"/>
      <c r="K92" s="10"/>
      <c r="L92" s="51">
        <f t="shared" si="50"/>
        <v>17500</v>
      </c>
      <c r="M92" s="51">
        <v>20000</v>
      </c>
      <c r="N92" s="139">
        <f t="shared" si="51"/>
        <v>-2500</v>
      </c>
      <c r="O92" s="134">
        <f t="shared" si="52"/>
        <v>-0.125</v>
      </c>
      <c r="P92" s="181">
        <v>10124.16</v>
      </c>
    </row>
    <row r="93" spans="1:17" x14ac:dyDescent="0.25">
      <c r="A93" s="9" t="s">
        <v>60</v>
      </c>
      <c r="B93" s="10"/>
      <c r="C93" s="10">
        <v>1800</v>
      </c>
      <c r="D93" s="10"/>
      <c r="E93" s="10"/>
      <c r="F93" s="10"/>
      <c r="G93" s="10"/>
      <c r="H93" s="10"/>
      <c r="I93" s="10"/>
      <c r="J93" s="10"/>
      <c r="K93" s="10"/>
      <c r="L93" s="51">
        <f t="shared" si="50"/>
        <v>1800</v>
      </c>
      <c r="M93" s="51">
        <v>1800</v>
      </c>
      <c r="N93" s="139">
        <f t="shared" si="51"/>
        <v>0</v>
      </c>
      <c r="O93" s="134">
        <f t="shared" si="52"/>
        <v>0</v>
      </c>
      <c r="P93" s="181">
        <v>1800</v>
      </c>
    </row>
    <row r="94" spans="1:17" x14ac:dyDescent="0.25">
      <c r="A94" s="15" t="s">
        <v>176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51">
        <v>0</v>
      </c>
      <c r="M94" s="51">
        <v>0</v>
      </c>
      <c r="N94" s="139">
        <f t="shared" si="51"/>
        <v>0</v>
      </c>
      <c r="O94" s="134">
        <f t="shared" si="52"/>
        <v>0</v>
      </c>
      <c r="P94" s="181">
        <v>0</v>
      </c>
    </row>
    <row r="95" spans="1:17" x14ac:dyDescent="0.25">
      <c r="A95" s="15" t="s">
        <v>177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51">
        <v>0</v>
      </c>
      <c r="M95" s="51">
        <v>0</v>
      </c>
      <c r="N95" s="139">
        <f t="shared" si="51"/>
        <v>0</v>
      </c>
      <c r="O95" s="134">
        <f t="shared" si="52"/>
        <v>0</v>
      </c>
      <c r="P95" s="181">
        <v>0</v>
      </c>
    </row>
    <row r="96" spans="1:17" x14ac:dyDescent="0.25">
      <c r="A96" s="9" t="s">
        <v>61</v>
      </c>
      <c r="B96" s="10"/>
      <c r="C96" s="10">
        <v>900</v>
      </c>
      <c r="D96" s="10"/>
      <c r="E96" s="10"/>
      <c r="F96" s="10"/>
      <c r="G96" s="10"/>
      <c r="H96" s="10"/>
      <c r="I96" s="10"/>
      <c r="J96" s="10"/>
      <c r="K96" s="10"/>
      <c r="L96" s="51">
        <f>SUM(B96:K96)</f>
        <v>900</v>
      </c>
      <c r="M96" s="51">
        <v>800</v>
      </c>
      <c r="N96" s="139">
        <f t="shared" si="51"/>
        <v>100</v>
      </c>
      <c r="O96" s="134">
        <f t="shared" si="52"/>
        <v>0.125</v>
      </c>
      <c r="P96" s="181">
        <v>302.83999999999997</v>
      </c>
      <c r="Q96" s="68" t="s">
        <v>246</v>
      </c>
    </row>
    <row r="97" spans="1:17" x14ac:dyDescent="0.25">
      <c r="A97" s="9" t="s">
        <v>62</v>
      </c>
      <c r="B97" s="10"/>
      <c r="C97" s="10">
        <v>0</v>
      </c>
      <c r="D97" s="10"/>
      <c r="E97" s="10"/>
      <c r="F97" s="10"/>
      <c r="G97" s="10"/>
      <c r="H97" s="10"/>
      <c r="I97" s="10"/>
      <c r="J97" s="10"/>
      <c r="K97" s="10"/>
      <c r="L97" s="51">
        <f>SUM(B97:K97)</f>
        <v>0</v>
      </c>
      <c r="M97" s="51">
        <v>0</v>
      </c>
      <c r="N97" s="139">
        <f t="shared" si="51"/>
        <v>0</v>
      </c>
      <c r="O97" s="134">
        <f t="shared" si="52"/>
        <v>0</v>
      </c>
      <c r="P97" s="181">
        <v>0</v>
      </c>
    </row>
    <row r="98" spans="1:17" x14ac:dyDescent="0.25">
      <c r="A98" s="12" t="s">
        <v>63</v>
      </c>
      <c r="B98" s="77">
        <f t="shared" ref="B98:M98" si="53">SUM(B81:B97)</f>
        <v>0</v>
      </c>
      <c r="C98" s="77">
        <f t="shared" si="53"/>
        <v>107900</v>
      </c>
      <c r="D98" s="77">
        <f t="shared" si="53"/>
        <v>0</v>
      </c>
      <c r="E98" s="77">
        <f t="shared" si="53"/>
        <v>0</v>
      </c>
      <c r="F98" s="77">
        <f t="shared" si="53"/>
        <v>0</v>
      </c>
      <c r="G98" s="77">
        <f t="shared" si="53"/>
        <v>0</v>
      </c>
      <c r="H98" s="77">
        <f t="shared" si="53"/>
        <v>0</v>
      </c>
      <c r="I98" s="77">
        <f t="shared" si="53"/>
        <v>0</v>
      </c>
      <c r="J98" s="77">
        <f t="shared" si="53"/>
        <v>0</v>
      </c>
      <c r="K98" s="77">
        <f t="shared" si="53"/>
        <v>0</v>
      </c>
      <c r="L98" s="78">
        <f t="shared" si="53"/>
        <v>107900</v>
      </c>
      <c r="M98" s="79">
        <f t="shared" si="53"/>
        <v>123000</v>
      </c>
      <c r="N98" s="138">
        <f>SUM(N81:N97)</f>
        <v>-15100</v>
      </c>
      <c r="O98" s="136">
        <f t="shared" si="52"/>
        <v>-0.12276422764227642</v>
      </c>
      <c r="P98" s="183">
        <f>SUM(P81:P97)</f>
        <v>84460.03</v>
      </c>
      <c r="Q98" s="69"/>
    </row>
    <row r="99" spans="1:17" x14ac:dyDescent="0.25">
      <c r="A99" s="3"/>
      <c r="B99" s="8"/>
      <c r="C99" s="8"/>
      <c r="D99" s="8"/>
      <c r="E99" s="8"/>
      <c r="F99" s="8"/>
      <c r="G99" s="8"/>
      <c r="H99" s="8"/>
      <c r="I99" s="8"/>
      <c r="J99" s="8"/>
      <c r="K99" s="8"/>
      <c r="L99" s="50"/>
      <c r="M99" s="50"/>
      <c r="N99" s="139"/>
      <c r="P99" s="181"/>
    </row>
    <row r="100" spans="1:17" x14ac:dyDescent="0.25">
      <c r="A100" s="9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50"/>
      <c r="M100" s="50"/>
      <c r="N100" s="139"/>
      <c r="P100" s="181"/>
    </row>
    <row r="101" spans="1:17" x14ac:dyDescent="0.25">
      <c r="A101" s="7" t="s">
        <v>64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50"/>
      <c r="M101" s="50"/>
      <c r="N101" s="139"/>
      <c r="P101" s="181"/>
    </row>
    <row r="102" spans="1:17" x14ac:dyDescent="0.25">
      <c r="A102" s="7" t="s">
        <v>34</v>
      </c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50"/>
      <c r="M102" s="50"/>
      <c r="N102" s="139"/>
      <c r="P102" s="181"/>
    </row>
    <row r="103" spans="1:17" x14ac:dyDescent="0.25">
      <c r="A103" s="9" t="s">
        <v>65</v>
      </c>
      <c r="B103" s="10"/>
      <c r="C103" s="10">
        <v>1000</v>
      </c>
      <c r="D103" s="10"/>
      <c r="E103" s="10"/>
      <c r="F103" s="10"/>
      <c r="G103" s="10"/>
      <c r="H103" s="10"/>
      <c r="I103" s="10"/>
      <c r="J103" s="10"/>
      <c r="K103" s="10"/>
      <c r="L103" s="51">
        <f t="shared" ref="L103:L112" si="54">SUM(B103:K103)</f>
        <v>1000</v>
      </c>
      <c r="M103" s="51">
        <v>1000</v>
      </c>
      <c r="N103" s="139">
        <f t="shared" ref="N103:N112" si="55">+L103-M103</f>
        <v>0</v>
      </c>
      <c r="O103" s="134">
        <f t="shared" ref="O103:O113" si="56">IF(M103,+N103/M103,0)</f>
        <v>0</v>
      </c>
      <c r="P103" s="181">
        <v>440.47</v>
      </c>
    </row>
    <row r="104" spans="1:17" x14ac:dyDescent="0.25">
      <c r="A104" s="9" t="s">
        <v>66</v>
      </c>
      <c r="B104" s="10"/>
      <c r="C104" s="10">
        <v>500</v>
      </c>
      <c r="D104" s="10"/>
      <c r="E104" s="10"/>
      <c r="F104" s="10"/>
      <c r="G104" s="10"/>
      <c r="H104" s="10"/>
      <c r="I104" s="10"/>
      <c r="J104" s="10"/>
      <c r="K104" s="10"/>
      <c r="L104" s="51">
        <f t="shared" si="54"/>
        <v>500</v>
      </c>
      <c r="M104" s="51">
        <v>500</v>
      </c>
      <c r="N104" s="139">
        <f t="shared" si="55"/>
        <v>0</v>
      </c>
      <c r="O104" s="134">
        <f t="shared" si="56"/>
        <v>0</v>
      </c>
      <c r="P104" s="181">
        <v>0</v>
      </c>
    </row>
    <row r="105" spans="1:17" x14ac:dyDescent="0.25">
      <c r="A105" s="9" t="s">
        <v>67</v>
      </c>
      <c r="B105" s="10"/>
      <c r="C105" s="10">
        <v>0</v>
      </c>
      <c r="D105" s="10"/>
      <c r="E105" s="10"/>
      <c r="F105" s="10"/>
      <c r="G105" s="10"/>
      <c r="H105" s="10"/>
      <c r="I105" s="10"/>
      <c r="J105" s="10"/>
      <c r="K105" s="10"/>
      <c r="L105" s="51">
        <f t="shared" si="54"/>
        <v>0</v>
      </c>
      <c r="M105" s="51">
        <v>0</v>
      </c>
      <c r="N105" s="139">
        <f t="shared" si="55"/>
        <v>0</v>
      </c>
      <c r="O105" s="134">
        <f t="shared" si="56"/>
        <v>0</v>
      </c>
      <c r="P105" s="181">
        <v>0</v>
      </c>
    </row>
    <row r="106" spans="1:17" x14ac:dyDescent="0.25">
      <c r="A106" s="9" t="s">
        <v>68</v>
      </c>
      <c r="B106" s="10"/>
      <c r="C106" s="10">
        <v>5000</v>
      </c>
      <c r="D106" s="10"/>
      <c r="E106" s="10"/>
      <c r="F106" s="10"/>
      <c r="G106" s="10"/>
      <c r="H106" s="10"/>
      <c r="I106" s="10"/>
      <c r="J106" s="10"/>
      <c r="K106" s="10"/>
      <c r="L106" s="51">
        <f t="shared" si="54"/>
        <v>5000</v>
      </c>
      <c r="M106" s="51">
        <v>5000</v>
      </c>
      <c r="N106" s="139">
        <f t="shared" si="55"/>
        <v>0</v>
      </c>
      <c r="O106" s="134">
        <f t="shared" si="56"/>
        <v>0</v>
      </c>
      <c r="P106" s="181">
        <v>64.61</v>
      </c>
    </row>
    <row r="107" spans="1:17" x14ac:dyDescent="0.25">
      <c r="A107" s="9" t="s">
        <v>69</v>
      </c>
      <c r="B107" s="10"/>
      <c r="C107" s="10">
        <v>500</v>
      </c>
      <c r="D107" s="10"/>
      <c r="E107" s="10"/>
      <c r="F107" s="10"/>
      <c r="G107" s="10"/>
      <c r="H107" s="10"/>
      <c r="I107" s="10"/>
      <c r="J107" s="10"/>
      <c r="K107" s="10"/>
      <c r="L107" s="51">
        <f t="shared" si="54"/>
        <v>500</v>
      </c>
      <c r="M107" s="51">
        <v>500</v>
      </c>
      <c r="N107" s="139">
        <f t="shared" si="55"/>
        <v>0</v>
      </c>
      <c r="O107" s="134">
        <f t="shared" si="56"/>
        <v>0</v>
      </c>
      <c r="P107" s="181">
        <v>8</v>
      </c>
    </row>
    <row r="108" spans="1:17" x14ac:dyDescent="0.25">
      <c r="A108" s="9" t="s">
        <v>96</v>
      </c>
      <c r="B108" s="10"/>
      <c r="C108" s="10">
        <v>1600</v>
      </c>
      <c r="D108" s="10"/>
      <c r="E108" s="10"/>
      <c r="F108" s="10"/>
      <c r="G108" s="10"/>
      <c r="H108" s="10"/>
      <c r="I108" s="10"/>
      <c r="J108" s="10"/>
      <c r="K108" s="10"/>
      <c r="L108" s="51">
        <f t="shared" si="54"/>
        <v>1600</v>
      </c>
      <c r="M108" s="51">
        <v>1600</v>
      </c>
      <c r="N108" s="139">
        <f t="shared" si="55"/>
        <v>0</v>
      </c>
      <c r="O108" s="134">
        <f t="shared" si="56"/>
        <v>0</v>
      </c>
      <c r="P108" s="181">
        <v>1600</v>
      </c>
    </row>
    <row r="109" spans="1:17" x14ac:dyDescent="0.25">
      <c r="A109" s="9" t="s">
        <v>70</v>
      </c>
      <c r="B109" s="10"/>
      <c r="C109" s="110">
        <f>4000-1000</f>
        <v>3000</v>
      </c>
      <c r="D109" s="10"/>
      <c r="E109" s="10"/>
      <c r="F109" s="10"/>
      <c r="G109" s="10"/>
      <c r="H109" s="10"/>
      <c r="I109" s="10"/>
      <c r="J109" s="10"/>
      <c r="K109" s="10"/>
      <c r="L109" s="51">
        <f t="shared" si="54"/>
        <v>3000</v>
      </c>
      <c r="M109" s="51">
        <v>4000</v>
      </c>
      <c r="N109" s="139">
        <f t="shared" si="55"/>
        <v>-1000</v>
      </c>
      <c r="O109" s="134">
        <f t="shared" si="56"/>
        <v>-0.25</v>
      </c>
      <c r="P109" s="181">
        <v>0</v>
      </c>
    </row>
    <row r="110" spans="1:17" x14ac:dyDescent="0.25">
      <c r="A110" s="9" t="s">
        <v>71</v>
      </c>
      <c r="B110" s="10"/>
      <c r="C110" s="10">
        <v>1000</v>
      </c>
      <c r="D110" s="10"/>
      <c r="E110" s="10"/>
      <c r="F110" s="10"/>
      <c r="G110" s="10"/>
      <c r="H110" s="10"/>
      <c r="I110" s="10"/>
      <c r="J110" s="10"/>
      <c r="K110" s="10"/>
      <c r="L110" s="51">
        <f t="shared" si="54"/>
        <v>1000</v>
      </c>
      <c r="M110" s="51">
        <v>1000</v>
      </c>
      <c r="N110" s="139">
        <f t="shared" si="55"/>
        <v>0</v>
      </c>
      <c r="O110" s="134">
        <f t="shared" si="56"/>
        <v>0</v>
      </c>
      <c r="P110" s="181">
        <v>0</v>
      </c>
    </row>
    <row r="111" spans="1:17" x14ac:dyDescent="0.25">
      <c r="A111" s="9" t="s">
        <v>72</v>
      </c>
      <c r="B111" s="10"/>
      <c r="C111" s="10">
        <v>5000</v>
      </c>
      <c r="D111" s="10"/>
      <c r="E111" s="10"/>
      <c r="F111" s="10"/>
      <c r="G111" s="10"/>
      <c r="H111" s="10"/>
      <c r="I111" s="10"/>
      <c r="J111" s="10"/>
      <c r="K111" s="10"/>
      <c r="L111" s="51">
        <f t="shared" si="54"/>
        <v>5000</v>
      </c>
      <c r="M111" s="51">
        <v>5000</v>
      </c>
      <c r="N111" s="139">
        <f t="shared" si="55"/>
        <v>0</v>
      </c>
      <c r="O111" s="134">
        <f t="shared" si="56"/>
        <v>0</v>
      </c>
      <c r="P111" s="181">
        <v>4045</v>
      </c>
    </row>
    <row r="112" spans="1:17" x14ac:dyDescent="0.25">
      <c r="A112" s="9" t="s">
        <v>73</v>
      </c>
      <c r="B112" s="10"/>
      <c r="C112" s="10">
        <v>0</v>
      </c>
      <c r="D112" s="10"/>
      <c r="E112" s="10"/>
      <c r="F112" s="10"/>
      <c r="G112" s="10"/>
      <c r="H112" s="10"/>
      <c r="I112" s="10"/>
      <c r="J112" s="10"/>
      <c r="K112" s="10"/>
      <c r="L112" s="51">
        <f t="shared" si="54"/>
        <v>0</v>
      </c>
      <c r="M112" s="51">
        <v>0</v>
      </c>
      <c r="N112" s="139">
        <f t="shared" si="55"/>
        <v>0</v>
      </c>
      <c r="O112" s="134">
        <f t="shared" si="56"/>
        <v>0</v>
      </c>
      <c r="P112" s="181">
        <v>0</v>
      </c>
    </row>
    <row r="113" spans="1:17" x14ac:dyDescent="0.25">
      <c r="A113" s="12" t="s">
        <v>74</v>
      </c>
      <c r="B113" s="90">
        <f t="shared" ref="B113:M113" si="57">SUM(B103:B112)</f>
        <v>0</v>
      </c>
      <c r="C113" s="90">
        <f t="shared" si="57"/>
        <v>17600</v>
      </c>
      <c r="D113" s="90">
        <f t="shared" si="57"/>
        <v>0</v>
      </c>
      <c r="E113" s="77">
        <f t="shared" si="57"/>
        <v>0</v>
      </c>
      <c r="F113" s="77">
        <f t="shared" si="57"/>
        <v>0</v>
      </c>
      <c r="G113" s="77">
        <f t="shared" si="57"/>
        <v>0</v>
      </c>
      <c r="H113" s="77">
        <f t="shared" si="57"/>
        <v>0</v>
      </c>
      <c r="I113" s="77">
        <f t="shared" si="57"/>
        <v>0</v>
      </c>
      <c r="J113" s="77">
        <f t="shared" si="57"/>
        <v>0</v>
      </c>
      <c r="K113" s="77">
        <f t="shared" si="57"/>
        <v>0</v>
      </c>
      <c r="L113" s="78">
        <f t="shared" si="57"/>
        <v>17600</v>
      </c>
      <c r="M113" s="79">
        <f t="shared" si="57"/>
        <v>18600</v>
      </c>
      <c r="N113" s="138">
        <f>SUM(N103:N112)</f>
        <v>-1000</v>
      </c>
      <c r="O113" s="136">
        <f t="shared" si="56"/>
        <v>-5.3763440860215055E-2</v>
      </c>
      <c r="P113" s="183">
        <f>SUM(P103:P112)</f>
        <v>6158.08</v>
      </c>
    </row>
    <row r="114" spans="1:17" x14ac:dyDescent="0.25">
      <c r="A114" s="12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75"/>
      <c r="M114" s="75"/>
      <c r="N114" s="143"/>
      <c r="O114" s="144"/>
      <c r="P114" s="190"/>
    </row>
    <row r="115" spans="1:17" x14ac:dyDescent="0.25">
      <c r="A115" s="12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75"/>
      <c r="M115" s="75"/>
      <c r="N115" s="143"/>
      <c r="O115" s="144"/>
      <c r="P115" s="190"/>
    </row>
    <row r="116" spans="1:17" x14ac:dyDescent="0.25">
      <c r="A116" s="12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75"/>
      <c r="M116" s="75"/>
      <c r="N116" s="143"/>
      <c r="O116" s="144"/>
      <c r="P116" s="190"/>
    </row>
    <row r="117" spans="1:17" x14ac:dyDescent="0.2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50"/>
      <c r="M117" s="50"/>
      <c r="N117" s="139"/>
      <c r="P117" s="181"/>
    </row>
    <row r="118" spans="1:17" x14ac:dyDescent="0.25">
      <c r="A118" s="7" t="s">
        <v>75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53"/>
      <c r="M118" s="53"/>
      <c r="N118" s="139"/>
      <c r="P118" s="185"/>
    </row>
    <row r="119" spans="1:17" x14ac:dyDescent="0.25">
      <c r="A119" s="109" t="s">
        <v>255</v>
      </c>
      <c r="B119" s="110">
        <v>1500</v>
      </c>
      <c r="C119" s="110"/>
      <c r="D119" s="10"/>
      <c r="E119" s="10"/>
      <c r="F119" s="10"/>
      <c r="G119" s="10"/>
      <c r="H119" s="10"/>
      <c r="I119" s="10"/>
      <c r="J119" s="10"/>
      <c r="K119" s="10"/>
      <c r="L119" s="51">
        <f t="shared" ref="L119:L127" si="58">SUM(B119:K119)</f>
        <v>1500</v>
      </c>
      <c r="M119" s="51">
        <v>2500</v>
      </c>
      <c r="N119" s="139">
        <f t="shared" ref="N119:N127" si="59">+L119-M119</f>
        <v>-1000</v>
      </c>
      <c r="O119" s="134">
        <f t="shared" ref="O119:O128" si="60">IF(M119,+N119/M119,0)</f>
        <v>-0.4</v>
      </c>
      <c r="P119" s="181">
        <v>0</v>
      </c>
      <c r="Q119" s="69" t="s">
        <v>231</v>
      </c>
    </row>
    <row r="120" spans="1:17" x14ac:dyDescent="0.25">
      <c r="A120" s="109" t="s">
        <v>294</v>
      </c>
      <c r="B120" s="110">
        <v>1542</v>
      </c>
      <c r="C120" s="110"/>
      <c r="D120" s="10"/>
      <c r="E120" s="10"/>
      <c r="F120" s="10"/>
      <c r="G120" s="11">
        <f>+G13</f>
        <v>3458</v>
      </c>
      <c r="H120" s="10"/>
      <c r="I120" s="10"/>
      <c r="J120" s="10"/>
      <c r="K120" s="10"/>
      <c r="L120" s="51">
        <f t="shared" si="58"/>
        <v>5000</v>
      </c>
      <c r="M120" s="51">
        <v>5000</v>
      </c>
      <c r="N120" s="139">
        <f t="shared" si="59"/>
        <v>0</v>
      </c>
      <c r="O120" s="134">
        <f t="shared" si="60"/>
        <v>0</v>
      </c>
      <c r="P120" s="181">
        <f>3000+2000</f>
        <v>5000</v>
      </c>
      <c r="Q120" s="68" t="s">
        <v>232</v>
      </c>
    </row>
    <row r="121" spans="1:17" x14ac:dyDescent="0.25">
      <c r="A121" s="109" t="s">
        <v>295</v>
      </c>
      <c r="B121" s="110">
        <f>9000-3000</f>
        <v>6000</v>
      </c>
      <c r="C121" s="110"/>
      <c r="D121" s="10"/>
      <c r="E121" s="10"/>
      <c r="F121" s="10"/>
      <c r="G121" s="10"/>
      <c r="H121" s="10"/>
      <c r="I121" s="10"/>
      <c r="J121" s="10"/>
      <c r="K121" s="10"/>
      <c r="L121" s="51">
        <f t="shared" si="58"/>
        <v>6000</v>
      </c>
      <c r="M121" s="51">
        <v>11000</v>
      </c>
      <c r="N121" s="139">
        <f t="shared" si="59"/>
        <v>-5000</v>
      </c>
      <c r="O121" s="134">
        <f t="shared" si="60"/>
        <v>-0.45454545454545453</v>
      </c>
      <c r="P121" s="181">
        <v>9975</v>
      </c>
      <c r="Q121" s="69" t="s">
        <v>233</v>
      </c>
    </row>
    <row r="122" spans="1:17" x14ac:dyDescent="0.25">
      <c r="A122" s="109" t="s">
        <v>296</v>
      </c>
      <c r="B122" s="110">
        <v>300</v>
      </c>
      <c r="C122" s="110"/>
      <c r="D122" s="10"/>
      <c r="E122" s="10"/>
      <c r="F122" s="10"/>
      <c r="G122" s="10"/>
      <c r="H122" s="10"/>
      <c r="I122" s="10"/>
      <c r="J122" s="10"/>
      <c r="K122" s="10"/>
      <c r="L122" s="51">
        <f t="shared" si="58"/>
        <v>300</v>
      </c>
      <c r="M122" s="51">
        <v>600</v>
      </c>
      <c r="N122" s="139">
        <f t="shared" si="59"/>
        <v>-300</v>
      </c>
      <c r="O122" s="134">
        <f t="shared" si="60"/>
        <v>-0.5</v>
      </c>
      <c r="P122" s="181">
        <v>0</v>
      </c>
      <c r="Q122" s="69" t="s">
        <v>234</v>
      </c>
    </row>
    <row r="123" spans="1:17" x14ac:dyDescent="0.25">
      <c r="A123" s="109" t="s">
        <v>297</v>
      </c>
      <c r="B123" s="110">
        <v>1000</v>
      </c>
      <c r="C123" s="110"/>
      <c r="D123" s="10"/>
      <c r="E123" s="10"/>
      <c r="F123" s="10"/>
      <c r="G123" s="10"/>
      <c r="H123" s="10"/>
      <c r="I123" s="10"/>
      <c r="J123" s="10"/>
      <c r="K123" s="10"/>
      <c r="L123" s="51">
        <f t="shared" si="58"/>
        <v>1000</v>
      </c>
      <c r="M123" s="51">
        <v>1000</v>
      </c>
      <c r="N123" s="139">
        <f t="shared" si="59"/>
        <v>0</v>
      </c>
      <c r="O123" s="134">
        <f t="shared" si="60"/>
        <v>0</v>
      </c>
      <c r="P123" s="181">
        <v>1233</v>
      </c>
      <c r="Q123" s="69" t="s">
        <v>235</v>
      </c>
    </row>
    <row r="124" spans="1:17" x14ac:dyDescent="0.25">
      <c r="A124" s="109" t="s">
        <v>256</v>
      </c>
      <c r="B124" s="110">
        <v>100</v>
      </c>
      <c r="C124" s="110"/>
      <c r="D124" s="10"/>
      <c r="E124" s="10"/>
      <c r="F124" s="10"/>
      <c r="G124" s="10"/>
      <c r="H124" s="10"/>
      <c r="I124" s="10"/>
      <c r="J124" s="10"/>
      <c r="K124" s="10"/>
      <c r="L124" s="51">
        <f t="shared" si="58"/>
        <v>100</v>
      </c>
      <c r="M124" s="51">
        <v>1000</v>
      </c>
      <c r="N124" s="139">
        <f t="shared" si="59"/>
        <v>-900</v>
      </c>
      <c r="O124" s="134">
        <f t="shared" si="60"/>
        <v>-0.9</v>
      </c>
      <c r="P124" s="181">
        <v>0</v>
      </c>
      <c r="Q124" s="69" t="s">
        <v>236</v>
      </c>
    </row>
    <row r="125" spans="1:17" x14ac:dyDescent="0.25">
      <c r="A125" s="109" t="s">
        <v>76</v>
      </c>
      <c r="B125" s="110">
        <v>750</v>
      </c>
      <c r="C125" s="110"/>
      <c r="D125" s="10"/>
      <c r="E125" s="10"/>
      <c r="F125" s="10"/>
      <c r="G125" s="10"/>
      <c r="H125" s="10"/>
      <c r="I125" s="10"/>
      <c r="J125" s="10"/>
      <c r="K125" s="10"/>
      <c r="L125" s="51">
        <f t="shared" si="58"/>
        <v>750</v>
      </c>
      <c r="M125" s="51">
        <v>1000</v>
      </c>
      <c r="N125" s="139">
        <f t="shared" si="59"/>
        <v>-250</v>
      </c>
      <c r="O125" s="134">
        <f t="shared" si="60"/>
        <v>-0.25</v>
      </c>
      <c r="P125" s="181">
        <v>381</v>
      </c>
      <c r="Q125" s="69" t="s">
        <v>237</v>
      </c>
    </row>
    <row r="126" spans="1:17" x14ac:dyDescent="0.25">
      <c r="A126" s="109" t="s">
        <v>77</v>
      </c>
      <c r="B126" s="110">
        <v>1500</v>
      </c>
      <c r="C126" s="110"/>
      <c r="D126" s="10"/>
      <c r="E126" s="10"/>
      <c r="F126" s="10"/>
      <c r="G126" s="10"/>
      <c r="H126" s="10"/>
      <c r="I126" s="10"/>
      <c r="J126" s="10"/>
      <c r="K126" s="10"/>
      <c r="L126" s="51">
        <f t="shared" si="58"/>
        <v>1500</v>
      </c>
      <c r="M126" s="51">
        <v>2300</v>
      </c>
      <c r="N126" s="139">
        <f t="shared" si="59"/>
        <v>-800</v>
      </c>
      <c r="O126" s="134">
        <f t="shared" si="60"/>
        <v>-0.34782608695652173</v>
      </c>
      <c r="P126" s="181">
        <v>555</v>
      </c>
      <c r="Q126" s="69" t="s">
        <v>238</v>
      </c>
    </row>
    <row r="127" spans="1:17" x14ac:dyDescent="0.25">
      <c r="A127" s="109" t="s">
        <v>298</v>
      </c>
      <c r="B127" s="110">
        <v>1200</v>
      </c>
      <c r="C127" s="110"/>
      <c r="D127" s="10"/>
      <c r="E127" s="10"/>
      <c r="F127" s="10"/>
      <c r="G127" s="10"/>
      <c r="H127" s="10"/>
      <c r="I127" s="10"/>
      <c r="J127" s="10"/>
      <c r="K127" s="10"/>
      <c r="L127" s="51">
        <f t="shared" si="58"/>
        <v>1200</v>
      </c>
      <c r="M127" s="51">
        <v>1000</v>
      </c>
      <c r="N127" s="139">
        <f t="shared" si="59"/>
        <v>200</v>
      </c>
      <c r="O127" s="134">
        <f t="shared" si="60"/>
        <v>0.2</v>
      </c>
      <c r="P127" s="181">
        <v>768</v>
      </c>
      <c r="Q127" s="69" t="s">
        <v>239</v>
      </c>
    </row>
    <row r="128" spans="1:17" x14ac:dyDescent="0.25">
      <c r="A128" s="109" t="s">
        <v>78</v>
      </c>
      <c r="B128" s="115">
        <f t="shared" ref="B128:M128" si="61">SUM(B119:B127)</f>
        <v>13892</v>
      </c>
      <c r="C128" s="115">
        <f t="shared" si="61"/>
        <v>0</v>
      </c>
      <c r="D128" s="77">
        <f t="shared" si="61"/>
        <v>0</v>
      </c>
      <c r="E128" s="77">
        <f t="shared" si="61"/>
        <v>0</v>
      </c>
      <c r="F128" s="77">
        <f t="shared" si="61"/>
        <v>0</v>
      </c>
      <c r="G128" s="77">
        <f t="shared" si="61"/>
        <v>3458</v>
      </c>
      <c r="H128" s="77">
        <f t="shared" si="61"/>
        <v>0</v>
      </c>
      <c r="I128" s="77">
        <f t="shared" si="61"/>
        <v>0</v>
      </c>
      <c r="J128" s="77">
        <f t="shared" si="61"/>
        <v>0</v>
      </c>
      <c r="K128" s="77">
        <f t="shared" si="61"/>
        <v>0</v>
      </c>
      <c r="L128" s="78">
        <f t="shared" si="61"/>
        <v>17350</v>
      </c>
      <c r="M128" s="79">
        <f t="shared" si="61"/>
        <v>25400</v>
      </c>
      <c r="N128" s="138">
        <f>SUM(N119:N127)</f>
        <v>-8050</v>
      </c>
      <c r="O128" s="136">
        <f t="shared" si="60"/>
        <v>-0.31692913385826771</v>
      </c>
      <c r="P128" s="183">
        <f>SUM(P119:P127)</f>
        <v>17912</v>
      </c>
    </row>
    <row r="129" spans="1:17" x14ac:dyDescent="0.25">
      <c r="A129" s="7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53"/>
      <c r="M129" s="53"/>
      <c r="N129" s="139"/>
      <c r="P129" s="185"/>
    </row>
    <row r="130" spans="1:17" x14ac:dyDescent="0.25">
      <c r="A130" s="19" t="s">
        <v>178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51">
        <f t="shared" ref="L130:L136" si="62">SUM(B130:K130)</f>
        <v>0</v>
      </c>
      <c r="M130" s="51">
        <v>0</v>
      </c>
      <c r="N130" s="139"/>
      <c r="P130" s="181">
        <v>0</v>
      </c>
    </row>
    <row r="131" spans="1:17" x14ac:dyDescent="0.25">
      <c r="A131" s="9" t="s">
        <v>79</v>
      </c>
      <c r="B131" s="10">
        <v>2000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51">
        <f t="shared" si="62"/>
        <v>2000</v>
      </c>
      <c r="M131" s="51">
        <v>2000</v>
      </c>
      <c r="N131" s="139">
        <f t="shared" ref="N131:N136" si="63">+L131-M131</f>
        <v>0</v>
      </c>
      <c r="O131" s="134">
        <f t="shared" ref="O131:O137" si="64">IF(M131,+N131/M131,0)</f>
        <v>0</v>
      </c>
      <c r="P131" s="181">
        <v>617</v>
      </c>
    </row>
    <row r="132" spans="1:17" x14ac:dyDescent="0.25">
      <c r="A132" s="9" t="s">
        <v>80</v>
      </c>
      <c r="B132" s="10">
        <v>1500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51">
        <f t="shared" si="62"/>
        <v>1500</v>
      </c>
      <c r="M132" s="51">
        <v>1500</v>
      </c>
      <c r="N132" s="139">
        <f t="shared" si="63"/>
        <v>0</v>
      </c>
      <c r="O132" s="134">
        <f t="shared" si="64"/>
        <v>0</v>
      </c>
      <c r="P132" s="181">
        <v>0</v>
      </c>
    </row>
    <row r="133" spans="1:17" x14ac:dyDescent="0.25">
      <c r="A133" s="9" t="s">
        <v>81</v>
      </c>
      <c r="B133" s="10">
        <v>675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51">
        <f t="shared" si="62"/>
        <v>675</v>
      </c>
      <c r="M133" s="51">
        <v>1000</v>
      </c>
      <c r="N133" s="139">
        <f t="shared" si="63"/>
        <v>-325</v>
      </c>
      <c r="O133" s="134">
        <f t="shared" si="64"/>
        <v>-0.32500000000000001</v>
      </c>
      <c r="P133" s="181">
        <v>0</v>
      </c>
    </row>
    <row r="134" spans="1:17" x14ac:dyDescent="0.25">
      <c r="A134" s="9" t="s">
        <v>82</v>
      </c>
      <c r="B134" s="10">
        <v>925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51">
        <f t="shared" si="62"/>
        <v>925</v>
      </c>
      <c r="M134" s="51">
        <v>1000</v>
      </c>
      <c r="N134" s="139">
        <f t="shared" si="63"/>
        <v>-75</v>
      </c>
      <c r="O134" s="134">
        <f t="shared" si="64"/>
        <v>-7.4999999999999997E-2</v>
      </c>
      <c r="P134" s="181">
        <v>0</v>
      </c>
      <c r="Q134" s="73"/>
    </row>
    <row r="135" spans="1:17" x14ac:dyDescent="0.25">
      <c r="A135" s="9" t="s">
        <v>83</v>
      </c>
      <c r="B135" s="10">
        <v>200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51">
        <f t="shared" si="62"/>
        <v>200</v>
      </c>
      <c r="M135" s="51">
        <v>200</v>
      </c>
      <c r="N135" s="139">
        <f t="shared" si="63"/>
        <v>0</v>
      </c>
      <c r="O135" s="134">
        <f t="shared" si="64"/>
        <v>0</v>
      </c>
      <c r="P135" s="181">
        <v>0</v>
      </c>
    </row>
    <row r="136" spans="1:17" x14ac:dyDescent="0.25">
      <c r="A136" s="9" t="s">
        <v>84</v>
      </c>
      <c r="B136" s="10">
        <v>1000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51">
        <f t="shared" si="62"/>
        <v>1000</v>
      </c>
      <c r="M136" s="51">
        <v>1500</v>
      </c>
      <c r="N136" s="139">
        <f t="shared" si="63"/>
        <v>-500</v>
      </c>
      <c r="O136" s="134">
        <f t="shared" si="64"/>
        <v>-0.33333333333333331</v>
      </c>
      <c r="P136" s="181">
        <v>416</v>
      </c>
    </row>
    <row r="137" spans="1:17" x14ac:dyDescent="0.25">
      <c r="A137" s="30" t="s">
        <v>85</v>
      </c>
      <c r="B137" s="84">
        <f t="shared" ref="B137:M137" si="65">SUM(B131:B136)</f>
        <v>6300</v>
      </c>
      <c r="C137" s="84">
        <f t="shared" si="65"/>
        <v>0</v>
      </c>
      <c r="D137" s="84">
        <f t="shared" si="65"/>
        <v>0</v>
      </c>
      <c r="E137" s="84">
        <f t="shared" si="65"/>
        <v>0</v>
      </c>
      <c r="F137" s="84">
        <f t="shared" si="65"/>
        <v>0</v>
      </c>
      <c r="G137" s="84">
        <f t="shared" si="65"/>
        <v>0</v>
      </c>
      <c r="H137" s="84">
        <f t="shared" si="65"/>
        <v>0</v>
      </c>
      <c r="I137" s="84">
        <f t="shared" si="65"/>
        <v>0</v>
      </c>
      <c r="J137" s="84">
        <f t="shared" si="65"/>
        <v>0</v>
      </c>
      <c r="K137" s="84">
        <f t="shared" si="65"/>
        <v>0</v>
      </c>
      <c r="L137" s="82">
        <f t="shared" si="65"/>
        <v>6300</v>
      </c>
      <c r="M137" s="85">
        <f t="shared" si="65"/>
        <v>7200</v>
      </c>
      <c r="N137" s="138">
        <f>SUM(N131:N136)</f>
        <v>-900</v>
      </c>
      <c r="O137" s="136">
        <f t="shared" si="64"/>
        <v>-0.125</v>
      </c>
      <c r="P137" s="184">
        <f>SUM(P131:P136)</f>
        <v>1033</v>
      </c>
    </row>
    <row r="138" spans="1:17" x14ac:dyDescent="0.25">
      <c r="A138" s="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50"/>
      <c r="M138" s="50"/>
      <c r="N138" s="139"/>
      <c r="P138" s="181"/>
    </row>
    <row r="139" spans="1:17" x14ac:dyDescent="0.25">
      <c r="A139" s="20" t="s">
        <v>39</v>
      </c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50"/>
      <c r="M139" s="50"/>
      <c r="N139" s="139"/>
      <c r="P139" s="181"/>
    </row>
    <row r="140" spans="1:17" x14ac:dyDescent="0.25">
      <c r="A140" s="7" t="s">
        <v>86</v>
      </c>
      <c r="B140" s="29"/>
      <c r="C140" s="29"/>
      <c r="D140" s="212"/>
      <c r="E140" s="29"/>
      <c r="F140" s="29"/>
      <c r="G140" s="29"/>
      <c r="H140" s="29"/>
      <c r="I140" s="29"/>
      <c r="J140" s="29"/>
      <c r="K140" s="29"/>
      <c r="L140" s="53"/>
      <c r="M140" s="53"/>
      <c r="N140" s="139"/>
      <c r="P140" s="185"/>
    </row>
    <row r="141" spans="1:17" s="62" customFormat="1" x14ac:dyDescent="0.25">
      <c r="A141" s="161" t="s">
        <v>87</v>
      </c>
      <c r="B141" s="162"/>
      <c r="C141" s="162"/>
      <c r="D141" s="162">
        <v>35788</v>
      </c>
      <c r="E141" s="162"/>
      <c r="F141" s="162"/>
      <c r="G141" s="162"/>
      <c r="H141" s="162"/>
      <c r="I141" s="162"/>
      <c r="J141" s="162"/>
      <c r="K141" s="162"/>
      <c r="L141" s="51">
        <f t="shared" ref="L141:L146" si="66">SUM(B141:K141)</f>
        <v>35788</v>
      </c>
      <c r="M141" s="51">
        <v>21830</v>
      </c>
      <c r="N141" s="139">
        <f t="shared" ref="N141:N145" si="67">+L141-M141</f>
        <v>13958</v>
      </c>
      <c r="O141" s="134">
        <f t="shared" ref="O141:O146" si="68">IF(M141,+N141/M141,0)</f>
        <v>0.63939532753092077</v>
      </c>
      <c r="P141" s="181">
        <v>21614</v>
      </c>
      <c r="Q141" s="104" t="s">
        <v>303</v>
      </c>
    </row>
    <row r="142" spans="1:17" s="62" customFormat="1" x14ac:dyDescent="0.25">
      <c r="A142" s="161" t="s">
        <v>88</v>
      </c>
      <c r="B142" s="162"/>
      <c r="C142" s="162"/>
      <c r="D142" s="162">
        <f>+D141*0.0765</f>
        <v>2737.7820000000002</v>
      </c>
      <c r="E142" s="162"/>
      <c r="F142" s="162"/>
      <c r="G142" s="162"/>
      <c r="H142" s="162"/>
      <c r="I142" s="162"/>
      <c r="J142" s="162"/>
      <c r="K142" s="162"/>
      <c r="L142" s="51">
        <f t="shared" si="66"/>
        <v>2737.7820000000002</v>
      </c>
      <c r="M142" s="51">
        <v>1670</v>
      </c>
      <c r="N142" s="139">
        <f t="shared" si="67"/>
        <v>1067.7820000000002</v>
      </c>
      <c r="O142" s="134">
        <f t="shared" si="68"/>
        <v>0.63939041916167672</v>
      </c>
      <c r="P142" s="181">
        <v>1470</v>
      </c>
    </row>
    <row r="143" spans="1:17" x14ac:dyDescent="0.25">
      <c r="A143" s="9" t="s">
        <v>89</v>
      </c>
      <c r="B143" s="10"/>
      <c r="C143" s="10"/>
      <c r="D143" s="162">
        <v>1000</v>
      </c>
      <c r="E143" s="10"/>
      <c r="F143" s="10"/>
      <c r="G143" s="10"/>
      <c r="H143" s="10"/>
      <c r="I143" s="10"/>
      <c r="J143" s="10"/>
      <c r="K143" s="10"/>
      <c r="L143" s="51">
        <f t="shared" si="66"/>
        <v>1000</v>
      </c>
      <c r="M143" s="51">
        <v>250</v>
      </c>
      <c r="N143" s="139">
        <f t="shared" si="67"/>
        <v>750</v>
      </c>
      <c r="O143" s="134">
        <f t="shared" si="68"/>
        <v>3</v>
      </c>
      <c r="P143" s="181">
        <v>250</v>
      </c>
    </row>
    <row r="144" spans="1:17" x14ac:dyDescent="0.25">
      <c r="A144" s="9" t="s">
        <v>90</v>
      </c>
      <c r="B144" s="10"/>
      <c r="C144" s="10"/>
      <c r="D144" s="162">
        <v>3500</v>
      </c>
      <c r="E144" s="10"/>
      <c r="F144" s="10"/>
      <c r="G144" s="10"/>
      <c r="H144" s="10"/>
      <c r="I144" s="10"/>
      <c r="J144" s="10"/>
      <c r="K144" s="10"/>
      <c r="L144" s="51">
        <f t="shared" si="66"/>
        <v>3500</v>
      </c>
      <c r="M144" s="51">
        <v>3500</v>
      </c>
      <c r="N144" s="139">
        <f t="shared" si="67"/>
        <v>0</v>
      </c>
      <c r="O144" s="134">
        <f t="shared" si="68"/>
        <v>0</v>
      </c>
      <c r="P144" s="181">
        <v>1464</v>
      </c>
    </row>
    <row r="145" spans="1:17" x14ac:dyDescent="0.25">
      <c r="A145" s="9" t="s">
        <v>91</v>
      </c>
      <c r="B145" s="10"/>
      <c r="C145" s="10"/>
      <c r="D145" s="162">
        <v>1500</v>
      </c>
      <c r="E145" s="10"/>
      <c r="F145" s="10"/>
      <c r="G145" s="10"/>
      <c r="H145" s="10"/>
      <c r="I145" s="10"/>
      <c r="J145" s="10"/>
      <c r="K145" s="10"/>
      <c r="L145" s="51">
        <f t="shared" si="66"/>
        <v>1500</v>
      </c>
      <c r="M145" s="51">
        <v>1500</v>
      </c>
      <c r="N145" s="139">
        <f t="shared" si="67"/>
        <v>0</v>
      </c>
      <c r="O145" s="134">
        <f t="shared" si="68"/>
        <v>0</v>
      </c>
      <c r="P145" s="181">
        <v>1049</v>
      </c>
    </row>
    <row r="146" spans="1:17" x14ac:dyDescent="0.25">
      <c r="A146" s="12" t="s">
        <v>92</v>
      </c>
      <c r="B146" s="80">
        <f t="shared" ref="B146:P146" si="69">SUM(B141:B145)</f>
        <v>0</v>
      </c>
      <c r="C146" s="80">
        <f t="shared" si="69"/>
        <v>0</v>
      </c>
      <c r="D146" s="80">
        <f t="shared" si="69"/>
        <v>44525.781999999999</v>
      </c>
      <c r="E146" s="80">
        <f t="shared" si="69"/>
        <v>0</v>
      </c>
      <c r="F146" s="80">
        <f t="shared" si="69"/>
        <v>0</v>
      </c>
      <c r="G146" s="80">
        <f t="shared" si="69"/>
        <v>0</v>
      </c>
      <c r="H146" s="80">
        <f t="shared" si="69"/>
        <v>0</v>
      </c>
      <c r="I146" s="80">
        <f t="shared" si="69"/>
        <v>0</v>
      </c>
      <c r="J146" s="80">
        <f t="shared" si="69"/>
        <v>0</v>
      </c>
      <c r="K146" s="80">
        <f t="shared" si="69"/>
        <v>0</v>
      </c>
      <c r="L146" s="83">
        <f t="shared" si="66"/>
        <v>44525.781999999999</v>
      </c>
      <c r="M146" s="81">
        <f t="shared" si="69"/>
        <v>28750</v>
      </c>
      <c r="N146" s="138">
        <f>SUM(N141:N145)</f>
        <v>15775.781999999999</v>
      </c>
      <c r="O146" s="136">
        <f t="shared" si="68"/>
        <v>0.54872285217391303</v>
      </c>
      <c r="P146" s="191">
        <f t="shared" si="69"/>
        <v>25847</v>
      </c>
    </row>
    <row r="147" spans="1:17" x14ac:dyDescent="0.25">
      <c r="A147" s="7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75"/>
      <c r="M147" s="75"/>
      <c r="N147" s="139"/>
      <c r="P147" s="190"/>
    </row>
    <row r="148" spans="1:17" x14ac:dyDescent="0.25">
      <c r="A148" s="12" t="s">
        <v>93</v>
      </c>
      <c r="B148" s="80">
        <f t="shared" ref="B148:M148" si="70">+B113+B128+B137+B146</f>
        <v>20192</v>
      </c>
      <c r="C148" s="80">
        <f t="shared" si="70"/>
        <v>17600</v>
      </c>
      <c r="D148" s="80">
        <f t="shared" si="70"/>
        <v>44525.781999999999</v>
      </c>
      <c r="E148" s="80">
        <f t="shared" si="70"/>
        <v>0</v>
      </c>
      <c r="F148" s="80">
        <f t="shared" si="70"/>
        <v>0</v>
      </c>
      <c r="G148" s="80">
        <f t="shared" si="70"/>
        <v>3458</v>
      </c>
      <c r="H148" s="80">
        <f t="shared" si="70"/>
        <v>0</v>
      </c>
      <c r="I148" s="80">
        <f t="shared" si="70"/>
        <v>0</v>
      </c>
      <c r="J148" s="80">
        <f t="shared" si="70"/>
        <v>0</v>
      </c>
      <c r="K148" s="80">
        <f t="shared" si="70"/>
        <v>0</v>
      </c>
      <c r="L148" s="83">
        <f t="shared" si="70"/>
        <v>85775.782000000007</v>
      </c>
      <c r="M148" s="81">
        <f t="shared" si="70"/>
        <v>79950</v>
      </c>
      <c r="N148" s="145">
        <f>+N113+N128+N137+N146</f>
        <v>5825.7819999999992</v>
      </c>
      <c r="O148" s="136">
        <f t="shared" ref="O148" si="71">IF(M148,+N148/M148,0)</f>
        <v>7.286781738586616E-2</v>
      </c>
      <c r="P148" s="191">
        <f>+P113+P128+P137+P146</f>
        <v>50950.080000000002</v>
      </c>
    </row>
    <row r="149" spans="1:17" x14ac:dyDescent="0.25">
      <c r="A149" s="9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50"/>
      <c r="M149" s="50"/>
      <c r="N149" s="139"/>
      <c r="P149" s="181"/>
    </row>
    <row r="150" spans="1:17" x14ac:dyDescent="0.25">
      <c r="A150" s="3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50"/>
      <c r="M150" s="50"/>
      <c r="N150" s="139"/>
      <c r="P150" s="181"/>
    </row>
    <row r="151" spans="1:17" x14ac:dyDescent="0.25">
      <c r="A151" s="20" t="s">
        <v>94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50"/>
      <c r="M151" s="50"/>
      <c r="N151" s="139"/>
      <c r="P151" s="181"/>
    </row>
    <row r="152" spans="1:17" x14ac:dyDescent="0.25">
      <c r="A152" s="9" t="s">
        <v>34</v>
      </c>
      <c r="B152" s="10"/>
      <c r="C152" s="110">
        <f>5000-2100</f>
        <v>2900</v>
      </c>
      <c r="D152" s="10"/>
      <c r="E152" s="10"/>
      <c r="F152" s="10"/>
      <c r="G152" s="10"/>
      <c r="H152" s="10"/>
      <c r="I152" s="10"/>
      <c r="J152" s="10"/>
      <c r="K152" s="10"/>
      <c r="L152" s="51">
        <f>SUM(B152:K152)</f>
        <v>2900</v>
      </c>
      <c r="M152" s="51">
        <v>5000</v>
      </c>
      <c r="N152" s="139">
        <f t="shared" ref="N152:N154" si="72">+L152-M152</f>
        <v>-2100</v>
      </c>
      <c r="O152" s="134">
        <f t="shared" ref="O152:O154" si="73">IF(M152,+N152/M152,0)</f>
        <v>-0.42</v>
      </c>
      <c r="P152" s="181">
        <v>4459</v>
      </c>
      <c r="Q152" s="67" t="s">
        <v>252</v>
      </c>
    </row>
    <row r="153" spans="1:17" x14ac:dyDescent="0.25">
      <c r="A153" s="9" t="s">
        <v>311</v>
      </c>
      <c r="B153" s="10"/>
      <c r="C153" s="110"/>
      <c r="D153" s="10"/>
      <c r="E153" s="10"/>
      <c r="F153" s="10"/>
      <c r="G153" s="10"/>
      <c r="H153" s="10"/>
      <c r="I153" s="10"/>
      <c r="J153" s="10"/>
      <c r="K153" s="10">
        <v>10000</v>
      </c>
      <c r="L153" s="51">
        <f>SUM(B153:K153)</f>
        <v>10000</v>
      </c>
      <c r="M153" s="51">
        <v>0</v>
      </c>
      <c r="N153" s="139">
        <f t="shared" si="72"/>
        <v>10000</v>
      </c>
      <c r="O153" s="134">
        <v>1</v>
      </c>
      <c r="P153" s="181">
        <v>0</v>
      </c>
      <c r="Q153" s="62" t="s">
        <v>293</v>
      </c>
    </row>
    <row r="154" spans="1:17" x14ac:dyDescent="0.25">
      <c r="A154" s="9" t="s">
        <v>95</v>
      </c>
      <c r="B154" s="10"/>
      <c r="C154" s="110">
        <v>1600</v>
      </c>
      <c r="D154" s="10"/>
      <c r="E154" s="10"/>
      <c r="F154" s="10"/>
      <c r="G154" s="10"/>
      <c r="H154" s="10"/>
      <c r="I154" s="10"/>
      <c r="J154" s="10"/>
      <c r="K154" s="10"/>
      <c r="L154" s="51">
        <f>SUM(B154:K154)</f>
        <v>1600</v>
      </c>
      <c r="M154" s="51">
        <v>1600</v>
      </c>
      <c r="N154" s="139">
        <f t="shared" si="72"/>
        <v>0</v>
      </c>
      <c r="O154" s="134">
        <f t="shared" si="73"/>
        <v>0</v>
      </c>
      <c r="P154" s="181">
        <v>1600</v>
      </c>
      <c r="Q154" s="67" t="s">
        <v>253</v>
      </c>
    </row>
    <row r="155" spans="1:17" x14ac:dyDescent="0.25">
      <c r="A155" s="9" t="s">
        <v>97</v>
      </c>
      <c r="B155" s="16"/>
      <c r="C155" s="114">
        <v>0</v>
      </c>
      <c r="D155" s="16"/>
      <c r="E155" s="16"/>
      <c r="F155" s="16"/>
      <c r="G155" s="16"/>
      <c r="H155" s="16"/>
      <c r="I155" s="16"/>
      <c r="J155" s="16"/>
      <c r="K155" s="16">
        <v>0</v>
      </c>
      <c r="L155" s="51">
        <f>SUM(B155:K155)</f>
        <v>0</v>
      </c>
      <c r="M155" s="51">
        <v>0</v>
      </c>
      <c r="N155" s="139"/>
      <c r="P155" s="181">
        <v>1857</v>
      </c>
    </row>
    <row r="156" spans="1:17" x14ac:dyDescent="0.25">
      <c r="A156" s="30" t="s">
        <v>98</v>
      </c>
      <c r="B156" s="17">
        <f t="shared" ref="B156:M156" si="74">SUM(B152:B155)</f>
        <v>0</v>
      </c>
      <c r="C156" s="119">
        <f t="shared" si="74"/>
        <v>4500</v>
      </c>
      <c r="D156" s="17">
        <f t="shared" si="74"/>
        <v>0</v>
      </c>
      <c r="E156" s="17">
        <f t="shared" si="74"/>
        <v>0</v>
      </c>
      <c r="F156" s="17">
        <f t="shared" si="74"/>
        <v>0</v>
      </c>
      <c r="G156" s="17">
        <f t="shared" si="74"/>
        <v>0</v>
      </c>
      <c r="H156" s="17">
        <f t="shared" si="74"/>
        <v>0</v>
      </c>
      <c r="I156" s="17">
        <f t="shared" si="74"/>
        <v>0</v>
      </c>
      <c r="J156" s="17">
        <f t="shared" si="74"/>
        <v>0</v>
      </c>
      <c r="K156" s="38">
        <f t="shared" si="74"/>
        <v>10000</v>
      </c>
      <c r="L156" s="63">
        <f t="shared" si="74"/>
        <v>14500</v>
      </c>
      <c r="M156" s="59">
        <f t="shared" si="74"/>
        <v>6600</v>
      </c>
      <c r="N156" s="138">
        <f>SUM(N152:N155)</f>
        <v>7900</v>
      </c>
      <c r="O156" s="136">
        <f t="shared" ref="O156" si="75">IF(M156,+N156/M156,0)</f>
        <v>1.196969696969697</v>
      </c>
      <c r="P156" s="192">
        <f>SUM(P152:P155)</f>
        <v>7916</v>
      </c>
    </row>
    <row r="157" spans="1:17" x14ac:dyDescent="0.25">
      <c r="A157" s="129" t="s">
        <v>310</v>
      </c>
      <c r="B157" s="8"/>
      <c r="C157" s="111"/>
      <c r="D157" s="8"/>
      <c r="E157" s="8"/>
      <c r="F157" s="8"/>
      <c r="G157" s="8"/>
      <c r="H157" s="8"/>
      <c r="I157" s="8"/>
      <c r="J157" s="8"/>
      <c r="K157" s="8"/>
      <c r="L157" s="50"/>
      <c r="M157" s="50"/>
      <c r="N157" s="139"/>
      <c r="P157" s="181"/>
    </row>
    <row r="158" spans="1:17" x14ac:dyDescent="0.25">
      <c r="A158" s="7" t="s">
        <v>99</v>
      </c>
      <c r="B158" s="29"/>
      <c r="C158" s="120"/>
      <c r="D158" s="29"/>
      <c r="E158" s="29"/>
      <c r="F158" s="29"/>
      <c r="G158" s="29"/>
      <c r="H158" s="29"/>
      <c r="I158" s="29"/>
      <c r="J158" s="29"/>
      <c r="K158" s="29"/>
      <c r="L158" s="53"/>
      <c r="M158" s="53"/>
      <c r="N158" s="139"/>
      <c r="P158" s="185"/>
    </row>
    <row r="159" spans="1:17" x14ac:dyDescent="0.25">
      <c r="A159" s="9" t="s">
        <v>100</v>
      </c>
      <c r="B159" s="10"/>
      <c r="C159" s="110">
        <v>10000</v>
      </c>
      <c r="D159" s="10"/>
      <c r="E159" s="10"/>
      <c r="F159" s="10"/>
      <c r="G159" s="10"/>
      <c r="H159" s="10"/>
      <c r="I159" s="10"/>
      <c r="J159" s="10"/>
      <c r="K159" s="10"/>
      <c r="L159" s="51">
        <f>SUM(B159:K159)</f>
        <v>10000</v>
      </c>
      <c r="M159" s="51">
        <v>10000</v>
      </c>
      <c r="N159" s="139">
        <f t="shared" ref="N159:N161" si="76">+L159-M159</f>
        <v>0</v>
      </c>
      <c r="O159" s="134">
        <f t="shared" ref="O159:O162" si="77">IF(M159,+N159/M159,0)</f>
        <v>0</v>
      </c>
      <c r="P159" s="181">
        <v>10000</v>
      </c>
    </row>
    <row r="160" spans="1:17" x14ac:dyDescent="0.25">
      <c r="A160" s="9" t="s">
        <v>101</v>
      </c>
      <c r="B160" s="10"/>
      <c r="C160" s="110">
        <v>10000</v>
      </c>
      <c r="D160" s="10"/>
      <c r="E160" s="10"/>
      <c r="F160" s="10"/>
      <c r="G160" s="10"/>
      <c r="H160" s="10"/>
      <c r="I160" s="10"/>
      <c r="J160" s="10"/>
      <c r="K160" s="10"/>
      <c r="L160" s="51">
        <f>SUM(B160:K160)</f>
        <v>10000</v>
      </c>
      <c r="M160" s="51">
        <v>10000</v>
      </c>
      <c r="N160" s="139">
        <f t="shared" si="76"/>
        <v>0</v>
      </c>
      <c r="O160" s="134">
        <f t="shared" si="77"/>
        <v>0</v>
      </c>
      <c r="P160" s="181">
        <v>10000</v>
      </c>
    </row>
    <row r="161" spans="1:18" x14ac:dyDescent="0.25">
      <c r="A161" s="9" t="s">
        <v>102</v>
      </c>
      <c r="B161" s="10"/>
      <c r="C161" s="110">
        <v>10000</v>
      </c>
      <c r="D161" s="10"/>
      <c r="E161" s="10"/>
      <c r="F161" s="10"/>
      <c r="G161" s="10"/>
      <c r="H161" s="10"/>
      <c r="I161" s="10"/>
      <c r="J161" s="10">
        <v>0</v>
      </c>
      <c r="K161" s="10"/>
      <c r="L161" s="51">
        <f>SUM(B161:K161)</f>
        <v>10000</v>
      </c>
      <c r="M161" s="51">
        <v>10000</v>
      </c>
      <c r="N161" s="139">
        <f t="shared" si="76"/>
        <v>0</v>
      </c>
      <c r="O161" s="134">
        <f t="shared" si="77"/>
        <v>0</v>
      </c>
      <c r="P161" s="181">
        <v>10000</v>
      </c>
    </row>
    <row r="162" spans="1:18" x14ac:dyDescent="0.25">
      <c r="A162" s="12" t="s">
        <v>103</v>
      </c>
      <c r="B162" s="13">
        <f t="shared" ref="B162:M162" si="78">SUM(B159:B161)</f>
        <v>0</v>
      </c>
      <c r="C162" s="13">
        <f t="shared" si="78"/>
        <v>30000</v>
      </c>
      <c r="D162" s="13">
        <f t="shared" si="78"/>
        <v>0</v>
      </c>
      <c r="E162" s="13">
        <f t="shared" si="78"/>
        <v>0</v>
      </c>
      <c r="F162" s="34">
        <f t="shared" si="78"/>
        <v>0</v>
      </c>
      <c r="G162" s="13">
        <f t="shared" si="78"/>
        <v>0</v>
      </c>
      <c r="H162" s="13">
        <f t="shared" si="78"/>
        <v>0</v>
      </c>
      <c r="I162" s="13">
        <f t="shared" si="78"/>
        <v>0</v>
      </c>
      <c r="J162" s="204">
        <f t="shared" si="78"/>
        <v>0</v>
      </c>
      <c r="K162" s="13">
        <f t="shared" si="78"/>
        <v>0</v>
      </c>
      <c r="L162" s="60">
        <f t="shared" si="78"/>
        <v>30000</v>
      </c>
      <c r="M162" s="52">
        <f t="shared" si="78"/>
        <v>30000</v>
      </c>
      <c r="N162" s="138">
        <f>SUM(N159:N161)</f>
        <v>0</v>
      </c>
      <c r="O162" s="136">
        <f t="shared" si="77"/>
        <v>0</v>
      </c>
      <c r="P162" s="187">
        <f>SUM(P159:P161)</f>
        <v>30000</v>
      </c>
    </row>
    <row r="163" spans="1:18" x14ac:dyDescent="0.25">
      <c r="A163" s="12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56"/>
      <c r="M163" s="56"/>
      <c r="N163" s="139"/>
      <c r="P163" s="193"/>
    </row>
    <row r="164" spans="1:18" x14ac:dyDescent="0.25">
      <c r="A164" s="7" t="s">
        <v>104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53"/>
      <c r="M164" s="53"/>
      <c r="N164" s="139"/>
      <c r="P164" s="185"/>
    </row>
    <row r="165" spans="1:18" x14ac:dyDescent="0.25">
      <c r="A165" s="9" t="s">
        <v>105</v>
      </c>
      <c r="B165" s="10"/>
      <c r="C165" s="10">
        <v>2500</v>
      </c>
      <c r="D165" s="10"/>
      <c r="E165" s="10"/>
      <c r="F165" s="10"/>
      <c r="G165" s="10"/>
      <c r="H165" s="10"/>
      <c r="I165" s="10"/>
      <c r="J165" s="10"/>
      <c r="K165" s="10"/>
      <c r="L165" s="51">
        <f>SUM(B165:K165)</f>
        <v>2500</v>
      </c>
      <c r="M165" s="51">
        <v>2500</v>
      </c>
      <c r="N165" s="139">
        <f t="shared" ref="N165" si="79">+L165-M165</f>
        <v>0</v>
      </c>
      <c r="O165" s="134">
        <f t="shared" ref="O165" si="80">IF(M165,+N165/M165,0)</f>
        <v>0</v>
      </c>
      <c r="P165" s="181">
        <v>500</v>
      </c>
      <c r="Q165" s="67" t="s">
        <v>254</v>
      </c>
    </row>
    <row r="166" spans="1:18" x14ac:dyDescent="0.25">
      <c r="A166" s="9" t="s">
        <v>106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51">
        <f>SUM(B166:K166)</f>
        <v>0</v>
      </c>
      <c r="M166" s="51">
        <v>0</v>
      </c>
      <c r="N166" s="139"/>
      <c r="P166" s="181">
        <v>0</v>
      </c>
    </row>
    <row r="167" spans="1:18" x14ac:dyDescent="0.25">
      <c r="A167" s="12" t="s">
        <v>107</v>
      </c>
      <c r="B167" s="13">
        <f t="shared" ref="B167:M167" si="81">SUM(B165:B166)</f>
        <v>0</v>
      </c>
      <c r="C167" s="13">
        <f t="shared" si="81"/>
        <v>2500</v>
      </c>
      <c r="D167" s="13">
        <f t="shared" si="81"/>
        <v>0</v>
      </c>
      <c r="E167" s="13">
        <f t="shared" si="81"/>
        <v>0</v>
      </c>
      <c r="F167" s="13">
        <f t="shared" si="81"/>
        <v>0</v>
      </c>
      <c r="G167" s="13">
        <f t="shared" si="81"/>
        <v>0</v>
      </c>
      <c r="H167" s="13">
        <f t="shared" si="81"/>
        <v>0</v>
      </c>
      <c r="I167" s="13">
        <f t="shared" si="81"/>
        <v>0</v>
      </c>
      <c r="J167" s="13">
        <f t="shared" si="81"/>
        <v>0</v>
      </c>
      <c r="K167" s="13">
        <f t="shared" si="81"/>
        <v>0</v>
      </c>
      <c r="L167" s="60">
        <f t="shared" si="81"/>
        <v>2500</v>
      </c>
      <c r="M167" s="52">
        <f t="shared" si="81"/>
        <v>2500</v>
      </c>
      <c r="N167" s="138">
        <f>SUM(N165:N166)</f>
        <v>0</v>
      </c>
      <c r="O167" s="136">
        <f t="shared" ref="O167" si="82">IF(M167,+N167/M167,0)</f>
        <v>0</v>
      </c>
      <c r="P167" s="187">
        <f>SUM(P165:P166)</f>
        <v>500</v>
      </c>
    </row>
    <row r="168" spans="1:18" x14ac:dyDescent="0.25">
      <c r="A168" s="7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50"/>
      <c r="M168" s="50"/>
      <c r="N168" s="139"/>
      <c r="P168" s="181"/>
    </row>
    <row r="169" spans="1:18" x14ac:dyDescent="0.25">
      <c r="A169" s="207" t="s">
        <v>39</v>
      </c>
      <c r="B169" s="162"/>
      <c r="C169" s="162"/>
      <c r="D169" s="162"/>
      <c r="E169" s="162"/>
      <c r="F169" s="162"/>
      <c r="G169" s="162"/>
      <c r="H169" s="162"/>
      <c r="I169" s="162"/>
      <c r="J169" s="162"/>
      <c r="K169" s="162"/>
      <c r="L169" s="50"/>
      <c r="M169" s="50"/>
      <c r="N169" s="139"/>
      <c r="P169" s="181"/>
      <c r="R169" s="62"/>
    </row>
    <row r="170" spans="1:18" s="62" customFormat="1" x14ac:dyDescent="0.25">
      <c r="A170" s="156" t="s">
        <v>267</v>
      </c>
      <c r="B170" s="162"/>
      <c r="C170" s="170"/>
      <c r="D170" s="116">
        <f>26681+346-183</f>
        <v>26844</v>
      </c>
      <c r="E170" s="117">
        <f>11000+424</f>
        <v>11424</v>
      </c>
      <c r="F170" s="117">
        <f>17001-320</f>
        <v>16681</v>
      </c>
      <c r="G170" s="117"/>
      <c r="H170" s="117"/>
      <c r="I170" s="117"/>
      <c r="J170" s="117">
        <f>19979-62-346+183</f>
        <v>19754</v>
      </c>
      <c r="K170" s="170"/>
      <c r="L170" s="51">
        <f t="shared" ref="L170:L175" si="83">SUM(B170:K170)</f>
        <v>74703</v>
      </c>
      <c r="M170" s="51">
        <v>74703</v>
      </c>
      <c r="N170" s="139">
        <f t="shared" ref="N170:N175" si="84">+L170-M170</f>
        <v>0</v>
      </c>
      <c r="O170" s="134">
        <f t="shared" ref="O170:O176" si="85">IF(M170,+N170/M170,0)</f>
        <v>0</v>
      </c>
      <c r="P170" s="181">
        <f>8000+4963+11000+25000+25000</f>
        <v>73963</v>
      </c>
      <c r="Q170" s="158" t="s">
        <v>304</v>
      </c>
      <c r="R170" s="62">
        <f>74703*1.03</f>
        <v>76944.09</v>
      </c>
    </row>
    <row r="171" spans="1:18" s="62" customFormat="1" x14ac:dyDescent="0.25">
      <c r="A171" s="156" t="s">
        <v>268</v>
      </c>
      <c r="B171" s="162"/>
      <c r="C171" s="170"/>
      <c r="D171" s="116">
        <v>0</v>
      </c>
      <c r="E171" s="116"/>
      <c r="F171" s="116">
        <v>0</v>
      </c>
      <c r="G171" s="116"/>
      <c r="H171" s="116"/>
      <c r="I171" s="116"/>
      <c r="J171" s="116"/>
      <c r="K171" s="170"/>
      <c r="L171" s="51">
        <f t="shared" si="83"/>
        <v>0</v>
      </c>
      <c r="M171" s="51">
        <v>25234</v>
      </c>
      <c r="N171" s="139">
        <f t="shared" si="84"/>
        <v>-25234</v>
      </c>
      <c r="O171" s="134">
        <f t="shared" si="85"/>
        <v>-1</v>
      </c>
      <c r="P171" s="181">
        <f>8136+14553</f>
        <v>22689</v>
      </c>
      <c r="Q171" s="69" t="s">
        <v>229</v>
      </c>
    </row>
    <row r="172" spans="1:18" s="62" customFormat="1" x14ac:dyDescent="0.25">
      <c r="A172" s="206" t="s">
        <v>269</v>
      </c>
      <c r="B172" s="162"/>
      <c r="C172" s="170"/>
      <c r="D172" s="116">
        <v>0</v>
      </c>
      <c r="E172" s="116"/>
      <c r="F172" s="116"/>
      <c r="G172" s="116"/>
      <c r="H172" s="116"/>
      <c r="I172" s="116"/>
      <c r="J172" s="116"/>
      <c r="K172" s="170"/>
      <c r="L172" s="51">
        <f t="shared" si="83"/>
        <v>0</v>
      </c>
      <c r="M172" s="51">
        <v>5715</v>
      </c>
      <c r="N172" s="139">
        <f t="shared" si="84"/>
        <v>-5715</v>
      </c>
      <c r="O172" s="134">
        <f t="shared" si="85"/>
        <v>-1</v>
      </c>
      <c r="P172" s="181">
        <v>5498</v>
      </c>
    </row>
    <row r="173" spans="1:18" x14ac:dyDescent="0.25">
      <c r="A173" s="156" t="s">
        <v>270</v>
      </c>
      <c r="B173" s="162"/>
      <c r="C173" s="170"/>
      <c r="D173" s="116">
        <v>0</v>
      </c>
      <c r="E173" s="116"/>
      <c r="F173" s="116"/>
      <c r="G173" s="116"/>
      <c r="H173" s="116"/>
      <c r="I173" s="116"/>
      <c r="J173" s="116"/>
      <c r="K173" s="170"/>
      <c r="L173" s="51">
        <f t="shared" si="83"/>
        <v>0</v>
      </c>
      <c r="M173" s="51">
        <v>1000</v>
      </c>
      <c r="N173" s="139">
        <f t="shared" si="84"/>
        <v>-1000</v>
      </c>
      <c r="O173" s="134">
        <f t="shared" si="85"/>
        <v>-1</v>
      </c>
      <c r="P173" s="181">
        <v>1000</v>
      </c>
      <c r="R173" s="62"/>
    </row>
    <row r="174" spans="1:18" x14ac:dyDescent="0.25">
      <c r="A174" s="156" t="s">
        <v>271</v>
      </c>
      <c r="B174" s="162"/>
      <c r="C174" s="170"/>
      <c r="D174" s="116">
        <v>3750</v>
      </c>
      <c r="E174" s="116"/>
      <c r="F174" s="116"/>
      <c r="G174" s="116"/>
      <c r="H174" s="116"/>
      <c r="I174" s="116"/>
      <c r="J174" s="116"/>
      <c r="K174" s="170"/>
      <c r="L174" s="51">
        <f t="shared" si="83"/>
        <v>3750</v>
      </c>
      <c r="M174" s="51">
        <v>3750</v>
      </c>
      <c r="N174" s="139">
        <f t="shared" si="84"/>
        <v>0</v>
      </c>
      <c r="O174" s="134">
        <f t="shared" si="85"/>
        <v>0</v>
      </c>
      <c r="P174" s="181">
        <v>3754</v>
      </c>
      <c r="R174" s="62"/>
    </row>
    <row r="175" spans="1:18" s="62" customFormat="1" x14ac:dyDescent="0.25">
      <c r="A175" s="156" t="s">
        <v>272</v>
      </c>
      <c r="B175" s="163"/>
      <c r="C175" s="168"/>
      <c r="D175" s="116">
        <v>0</v>
      </c>
      <c r="E175" s="169"/>
      <c r="F175" s="169"/>
      <c r="G175" s="169"/>
      <c r="H175" s="169"/>
      <c r="I175" s="169"/>
      <c r="J175" s="169"/>
      <c r="K175" s="168"/>
      <c r="L175" s="51">
        <f t="shared" si="83"/>
        <v>0</v>
      </c>
      <c r="M175" s="51">
        <v>2000</v>
      </c>
      <c r="N175" s="139">
        <f t="shared" si="84"/>
        <v>-2000</v>
      </c>
      <c r="O175" s="134">
        <f t="shared" si="85"/>
        <v>-1</v>
      </c>
      <c r="P175" s="181">
        <v>1976</v>
      </c>
    </row>
    <row r="176" spans="1:18" x14ac:dyDescent="0.25">
      <c r="A176" s="208" t="s">
        <v>273</v>
      </c>
      <c r="B176" s="209">
        <f t="shared" ref="B176:P176" si="86">SUM(B170:B175)</f>
        <v>0</v>
      </c>
      <c r="C176" s="209">
        <f t="shared" si="86"/>
        <v>0</v>
      </c>
      <c r="D176" s="209">
        <f t="shared" si="86"/>
        <v>30594</v>
      </c>
      <c r="E176" s="209">
        <f t="shared" si="86"/>
        <v>11424</v>
      </c>
      <c r="F176" s="209">
        <f t="shared" si="86"/>
        <v>16681</v>
      </c>
      <c r="G176" s="209">
        <f t="shared" si="86"/>
        <v>0</v>
      </c>
      <c r="H176" s="209">
        <f t="shared" si="86"/>
        <v>0</v>
      </c>
      <c r="I176" s="209">
        <f t="shared" si="86"/>
        <v>0</v>
      </c>
      <c r="J176" s="209">
        <f t="shared" si="86"/>
        <v>19754</v>
      </c>
      <c r="K176" s="209">
        <f t="shared" si="86"/>
        <v>0</v>
      </c>
      <c r="L176" s="60">
        <f t="shared" si="86"/>
        <v>78453</v>
      </c>
      <c r="M176" s="52">
        <f t="shared" si="86"/>
        <v>112402</v>
      </c>
      <c r="N176" s="138">
        <f>SUM(N170:N175)</f>
        <v>-33949</v>
      </c>
      <c r="O176" s="136">
        <f t="shared" si="85"/>
        <v>-0.30203199231330402</v>
      </c>
      <c r="P176" s="187">
        <f t="shared" si="86"/>
        <v>108880</v>
      </c>
      <c r="R176" s="62"/>
    </row>
    <row r="177" spans="1:18" x14ac:dyDescent="0.25">
      <c r="A177" s="9"/>
      <c r="B177" s="8"/>
      <c r="C177" s="8"/>
      <c r="D177" s="8"/>
      <c r="E177" s="8"/>
      <c r="F177" s="8"/>
      <c r="G177" s="8"/>
      <c r="H177" s="8"/>
      <c r="I177" s="8"/>
      <c r="J177" s="165"/>
      <c r="K177" s="8"/>
      <c r="L177" s="50"/>
      <c r="M177" s="50"/>
      <c r="N177" s="139"/>
      <c r="P177" s="181"/>
    </row>
    <row r="178" spans="1:18" s="62" customFormat="1" x14ac:dyDescent="0.25">
      <c r="A178" s="161" t="s">
        <v>186</v>
      </c>
      <c r="B178" s="165"/>
      <c r="C178" s="165"/>
      <c r="D178" s="166"/>
      <c r="E178" s="167">
        <f>800</f>
        <v>800</v>
      </c>
      <c r="F178" s="117">
        <f>24200+320</f>
        <v>24520</v>
      </c>
      <c r="G178" s="159"/>
      <c r="H178" s="159"/>
      <c r="I178" s="159"/>
      <c r="J178" s="117">
        <f>28799+346</f>
        <v>29145</v>
      </c>
      <c r="K178" s="166"/>
      <c r="L178" s="50">
        <f t="shared" ref="L178:L185" si="87">SUM(B178:K178)</f>
        <v>54465</v>
      </c>
      <c r="M178" s="50">
        <v>50730</v>
      </c>
      <c r="N178" s="139">
        <f t="shared" ref="N178:N184" si="88">+L178-M178</f>
        <v>3735</v>
      </c>
      <c r="O178" s="134">
        <f t="shared" ref="O178:O185" si="89">IF(M178,+N178/M178,0)</f>
        <v>7.3625073920756942E-2</v>
      </c>
      <c r="P178" s="181">
        <f>45000+5228</f>
        <v>50228</v>
      </c>
      <c r="Q178" s="158" t="s">
        <v>305</v>
      </c>
      <c r="R178" s="62">
        <f>50730*1.05</f>
        <v>53266.5</v>
      </c>
    </row>
    <row r="179" spans="1:18" s="62" customFormat="1" x14ac:dyDescent="0.25">
      <c r="A179" s="161" t="s">
        <v>187</v>
      </c>
      <c r="B179" s="165"/>
      <c r="C179" s="165"/>
      <c r="D179" s="166"/>
      <c r="E179" s="167"/>
      <c r="F179" s="117"/>
      <c r="G179" s="159"/>
      <c r="H179" s="159"/>
      <c r="I179" s="159"/>
      <c r="J179" s="117">
        <f>+L178*11%</f>
        <v>5991.15</v>
      </c>
      <c r="K179" s="166"/>
      <c r="L179" s="50">
        <f t="shared" si="87"/>
        <v>5991.15</v>
      </c>
      <c r="M179" s="50">
        <v>5525</v>
      </c>
      <c r="N179" s="139">
        <f t="shared" si="88"/>
        <v>466.14999999999964</v>
      </c>
      <c r="O179" s="134">
        <f t="shared" si="89"/>
        <v>8.4371040723981841E-2</v>
      </c>
      <c r="P179" s="181">
        <v>5525</v>
      </c>
    </row>
    <row r="180" spans="1:18" s="62" customFormat="1" x14ac:dyDescent="0.25">
      <c r="A180" s="161" t="s">
        <v>188</v>
      </c>
      <c r="B180" s="165"/>
      <c r="C180" s="165"/>
      <c r="D180" s="166"/>
      <c r="E180" s="167"/>
      <c r="F180" s="117"/>
      <c r="G180" s="159"/>
      <c r="H180" s="159"/>
      <c r="I180" s="159"/>
      <c r="J180" s="117">
        <v>9504</v>
      </c>
      <c r="K180" s="166"/>
      <c r="L180" s="50">
        <f t="shared" si="87"/>
        <v>9504</v>
      </c>
      <c r="M180" s="50">
        <v>10212</v>
      </c>
      <c r="N180" s="139">
        <f t="shared" si="88"/>
        <v>-708</v>
      </c>
      <c r="O180" s="134">
        <f t="shared" si="89"/>
        <v>-6.9330199764982378E-2</v>
      </c>
      <c r="P180" s="181">
        <v>10212</v>
      </c>
      <c r="Q180" s="69" t="s">
        <v>229</v>
      </c>
    </row>
    <row r="181" spans="1:18" s="62" customFormat="1" x14ac:dyDescent="0.25">
      <c r="A181" s="156" t="s">
        <v>218</v>
      </c>
      <c r="B181" s="165"/>
      <c r="C181" s="165"/>
      <c r="D181" s="166"/>
      <c r="E181" s="167"/>
      <c r="F181" s="117"/>
      <c r="G181" s="159"/>
      <c r="H181" s="159"/>
      <c r="I181" s="159"/>
      <c r="J181" s="117">
        <f>+L178*7.65%</f>
        <v>4166.5725000000002</v>
      </c>
      <c r="K181" s="166"/>
      <c r="L181" s="50">
        <f t="shared" si="87"/>
        <v>4166.5725000000002</v>
      </c>
      <c r="M181" s="50">
        <v>3842</v>
      </c>
      <c r="N181" s="139">
        <f t="shared" si="88"/>
        <v>324.57250000000022</v>
      </c>
      <c r="O181" s="134">
        <f t="shared" si="89"/>
        <v>8.4480088495575284E-2</v>
      </c>
      <c r="P181" s="181">
        <v>3644</v>
      </c>
    </row>
    <row r="182" spans="1:18" x14ac:dyDescent="0.25">
      <c r="A182" s="9" t="s">
        <v>192</v>
      </c>
      <c r="B182" s="8"/>
      <c r="C182" s="8"/>
      <c r="D182" s="100"/>
      <c r="E182" s="111"/>
      <c r="F182" s="112"/>
      <c r="G182" s="113"/>
      <c r="H182" s="113"/>
      <c r="I182" s="113"/>
      <c r="J182" s="117">
        <v>1000</v>
      </c>
      <c r="K182" s="100"/>
      <c r="L182" s="50">
        <f t="shared" si="87"/>
        <v>1000</v>
      </c>
      <c r="M182" s="50">
        <v>1000</v>
      </c>
      <c r="N182" s="139">
        <f t="shared" si="88"/>
        <v>0</v>
      </c>
      <c r="O182" s="134">
        <f t="shared" si="89"/>
        <v>0</v>
      </c>
      <c r="P182" s="181">
        <v>1000</v>
      </c>
    </row>
    <row r="183" spans="1:18" x14ac:dyDescent="0.25">
      <c r="A183" s="9" t="s">
        <v>189</v>
      </c>
      <c r="B183" s="8"/>
      <c r="C183" s="8"/>
      <c r="D183" s="100"/>
      <c r="E183" s="111"/>
      <c r="F183" s="112"/>
      <c r="G183" s="113"/>
      <c r="H183" s="113"/>
      <c r="I183" s="113"/>
      <c r="J183" s="117">
        <v>439</v>
      </c>
      <c r="K183" s="100"/>
      <c r="L183" s="50">
        <f t="shared" si="87"/>
        <v>439</v>
      </c>
      <c r="M183" s="50">
        <v>439</v>
      </c>
      <c r="N183" s="139">
        <f t="shared" si="88"/>
        <v>0</v>
      </c>
      <c r="O183" s="134">
        <f t="shared" si="89"/>
        <v>0</v>
      </c>
      <c r="P183" s="181">
        <v>226</v>
      </c>
    </row>
    <row r="184" spans="1:18" x14ac:dyDescent="0.25">
      <c r="A184" s="9" t="s">
        <v>190</v>
      </c>
      <c r="B184" s="8"/>
      <c r="C184" s="8"/>
      <c r="D184" s="100"/>
      <c r="E184" s="100"/>
      <c r="F184" s="99"/>
      <c r="G184" s="101"/>
      <c r="H184" s="101"/>
      <c r="I184" s="101"/>
      <c r="J184" s="99">
        <v>0</v>
      </c>
      <c r="K184" s="100"/>
      <c r="L184" s="50">
        <f t="shared" si="87"/>
        <v>0</v>
      </c>
      <c r="M184" s="50">
        <v>0</v>
      </c>
      <c r="N184" s="139">
        <f t="shared" si="88"/>
        <v>0</v>
      </c>
      <c r="O184" s="134">
        <f t="shared" si="89"/>
        <v>0</v>
      </c>
      <c r="P184" s="181"/>
    </row>
    <row r="185" spans="1:18" x14ac:dyDescent="0.25">
      <c r="A185" s="12" t="s">
        <v>191</v>
      </c>
      <c r="B185" s="13">
        <f>SUM(B178:B184)</f>
        <v>0</v>
      </c>
      <c r="C185" s="13">
        <f t="shared" ref="C185:K185" si="90">SUM(C178:C184)</f>
        <v>0</v>
      </c>
      <c r="D185" s="13">
        <f t="shared" si="90"/>
        <v>0</v>
      </c>
      <c r="E185" s="13">
        <f t="shared" si="90"/>
        <v>800</v>
      </c>
      <c r="F185" s="13">
        <f t="shared" ref="F185" si="91">SUM(F178:F184)</f>
        <v>24520</v>
      </c>
      <c r="G185" s="13">
        <f t="shared" ref="G185" si="92">SUM(G178:G184)</f>
        <v>0</v>
      </c>
      <c r="H185" s="13">
        <f t="shared" ref="H185" si="93">SUM(H178:H184)</f>
        <v>0</v>
      </c>
      <c r="I185" s="13">
        <f t="shared" ref="I185" si="94">SUM(I178:I184)</f>
        <v>0</v>
      </c>
      <c r="J185" s="13">
        <f t="shared" ref="J185" si="95">SUM(J178:J184)</f>
        <v>50245.722500000003</v>
      </c>
      <c r="K185" s="13">
        <f t="shared" si="90"/>
        <v>0</v>
      </c>
      <c r="L185" s="60">
        <f t="shared" si="87"/>
        <v>75565.722500000003</v>
      </c>
      <c r="M185" s="52">
        <f>SUM(M178:M184)</f>
        <v>71748</v>
      </c>
      <c r="N185" s="138">
        <f>SUM(N178:N184)</f>
        <v>3817.7224999999999</v>
      </c>
      <c r="O185" s="136">
        <f t="shared" si="89"/>
        <v>5.3210159168199808E-2</v>
      </c>
      <c r="P185" s="187">
        <f>SUM(P178:P184)</f>
        <v>70835</v>
      </c>
    </row>
    <row r="186" spans="1:18" x14ac:dyDescent="0.25">
      <c r="A186" s="9"/>
      <c r="B186" s="8"/>
      <c r="C186" s="8"/>
      <c r="D186" s="165"/>
      <c r="E186" s="165"/>
      <c r="F186" s="165"/>
      <c r="G186" s="165"/>
      <c r="H186" s="165"/>
      <c r="I186" s="165"/>
      <c r="J186" s="165"/>
      <c r="K186" s="165"/>
      <c r="L186" s="50"/>
      <c r="M186" s="50"/>
      <c r="N186" s="139"/>
      <c r="P186" s="181"/>
    </row>
    <row r="187" spans="1:18" s="62" customFormat="1" x14ac:dyDescent="0.25">
      <c r="A187" s="156" t="s">
        <v>274</v>
      </c>
      <c r="B187" s="162"/>
      <c r="C187" s="162"/>
      <c r="D187" s="164">
        <f>38000-3802</f>
        <v>34198</v>
      </c>
      <c r="E187" s="162"/>
      <c r="F187" s="164"/>
      <c r="G187" s="162"/>
      <c r="H187" s="162"/>
      <c r="I187" s="162"/>
      <c r="J187" s="162"/>
      <c r="K187" s="164">
        <v>3802</v>
      </c>
      <c r="L187" s="51">
        <f>SUM(B187:K187)</f>
        <v>38000</v>
      </c>
      <c r="M187" s="51">
        <v>24588</v>
      </c>
      <c r="N187" s="139">
        <f t="shared" ref="N187:N191" si="96">+L187-M187</f>
        <v>13412</v>
      </c>
      <c r="O187" s="134">
        <f t="shared" ref="O187:O192" si="97">IF(M187,+N187/M187,0)</f>
        <v>0.5454693346347812</v>
      </c>
      <c r="P187" s="181">
        <f>8833+761+2500+12250</f>
        <v>24344</v>
      </c>
      <c r="Q187" s="104" t="s">
        <v>306</v>
      </c>
    </row>
    <row r="188" spans="1:18" s="62" customFormat="1" x14ac:dyDescent="0.25">
      <c r="A188" s="156" t="s">
        <v>275</v>
      </c>
      <c r="B188" s="162"/>
      <c r="C188" s="162"/>
      <c r="D188" s="162">
        <f>38000*7.65%+(38000*11%)</f>
        <v>7087</v>
      </c>
      <c r="E188" s="162"/>
      <c r="F188" s="162"/>
      <c r="G188" s="162"/>
      <c r="H188" s="162"/>
      <c r="I188" s="162"/>
      <c r="J188" s="162"/>
      <c r="K188" s="162">
        <v>0</v>
      </c>
      <c r="L188" s="51">
        <f>SUM(B188:K188)</f>
        <v>7087</v>
      </c>
      <c r="M188" s="51">
        <v>564</v>
      </c>
      <c r="N188" s="139">
        <f t="shared" si="96"/>
        <v>6523</v>
      </c>
      <c r="O188" s="134">
        <f t="shared" si="97"/>
        <v>11.565602836879433</v>
      </c>
      <c r="P188" s="181">
        <v>565</v>
      </c>
    </row>
    <row r="189" spans="1:18" s="62" customFormat="1" x14ac:dyDescent="0.25">
      <c r="A189" s="156" t="s">
        <v>276</v>
      </c>
      <c r="B189" s="162"/>
      <c r="C189" s="162"/>
      <c r="D189" s="162">
        <f>38000*2.3%</f>
        <v>874</v>
      </c>
      <c r="E189" s="162"/>
      <c r="F189" s="162"/>
      <c r="G189" s="162"/>
      <c r="H189" s="162"/>
      <c r="I189" s="162"/>
      <c r="J189" s="162"/>
      <c r="K189" s="162">
        <v>0</v>
      </c>
      <c r="L189" s="51">
        <f>SUM(B189:K189)</f>
        <v>874</v>
      </c>
      <c r="M189" s="51">
        <v>1881</v>
      </c>
      <c r="N189" s="139">
        <f t="shared" si="96"/>
        <v>-1007</v>
      </c>
      <c r="O189" s="134">
        <f t="shared" si="97"/>
        <v>-0.53535353535353536</v>
      </c>
      <c r="P189" s="181">
        <v>1835</v>
      </c>
    </row>
    <row r="190" spans="1:18" s="62" customFormat="1" x14ac:dyDescent="0.25">
      <c r="A190" s="161" t="s">
        <v>316</v>
      </c>
      <c r="B190" s="162"/>
      <c r="C190" s="162"/>
      <c r="D190" s="162">
        <v>1000</v>
      </c>
      <c r="E190" s="162"/>
      <c r="F190" s="162"/>
      <c r="G190" s="162"/>
      <c r="H190" s="162"/>
      <c r="I190" s="162"/>
      <c r="J190" s="162"/>
      <c r="K190" s="162"/>
      <c r="L190" s="51">
        <f>SUM(B190:K190)</f>
        <v>1000</v>
      </c>
      <c r="M190" s="51">
        <v>0</v>
      </c>
      <c r="N190" s="139">
        <f t="shared" ref="N190" si="98">+L190-M190</f>
        <v>1000</v>
      </c>
      <c r="O190" s="134">
        <f t="shared" ref="O190" si="99">IF(M190,+N190/M190,0)</f>
        <v>0</v>
      </c>
      <c r="P190" s="181">
        <v>0</v>
      </c>
    </row>
    <row r="191" spans="1:18" s="62" customFormat="1" x14ac:dyDescent="0.25">
      <c r="A191" s="156" t="s">
        <v>277</v>
      </c>
      <c r="B191" s="163"/>
      <c r="C191" s="163"/>
      <c r="D191" s="163">
        <f>3500+2000</f>
        <v>5500</v>
      </c>
      <c r="E191" s="163"/>
      <c r="F191" s="165"/>
      <c r="G191" s="163"/>
      <c r="H191" s="163"/>
      <c r="I191" s="163"/>
      <c r="J191" s="163"/>
      <c r="K191" s="163">
        <v>0</v>
      </c>
      <c r="L191" s="51">
        <f>SUM(B191:K191)</f>
        <v>5500</v>
      </c>
      <c r="M191" s="51">
        <v>4000</v>
      </c>
      <c r="N191" s="139">
        <f t="shared" si="96"/>
        <v>1500</v>
      </c>
      <c r="O191" s="134">
        <f t="shared" si="97"/>
        <v>0.375</v>
      </c>
      <c r="P191" s="181">
        <f>494+497</f>
        <v>991</v>
      </c>
    </row>
    <row r="192" spans="1:18" x14ac:dyDescent="0.25">
      <c r="A192" s="33" t="s">
        <v>278</v>
      </c>
      <c r="B192" s="13">
        <f t="shared" ref="B192:P192" si="100">SUM(B187:B191)</f>
        <v>0</v>
      </c>
      <c r="C192" s="13">
        <f t="shared" si="100"/>
        <v>0</v>
      </c>
      <c r="D192" s="205">
        <f t="shared" si="100"/>
        <v>48659</v>
      </c>
      <c r="E192" s="13">
        <f t="shared" si="100"/>
        <v>0</v>
      </c>
      <c r="F192" s="13">
        <f t="shared" si="100"/>
        <v>0</v>
      </c>
      <c r="G192" s="13">
        <f t="shared" si="100"/>
        <v>0</v>
      </c>
      <c r="H192" s="13">
        <f t="shared" si="100"/>
        <v>0</v>
      </c>
      <c r="I192" s="13">
        <f t="shared" si="100"/>
        <v>0</v>
      </c>
      <c r="J192" s="13">
        <f t="shared" si="100"/>
        <v>0</v>
      </c>
      <c r="K192" s="13">
        <f t="shared" si="100"/>
        <v>3802</v>
      </c>
      <c r="L192" s="60">
        <f t="shared" si="100"/>
        <v>52461</v>
      </c>
      <c r="M192" s="52">
        <f t="shared" si="100"/>
        <v>31033</v>
      </c>
      <c r="N192" s="138">
        <f>SUM(N187:N191)</f>
        <v>21428</v>
      </c>
      <c r="O192" s="136">
        <f t="shared" si="97"/>
        <v>0.69049076789224373</v>
      </c>
      <c r="P192" s="187">
        <f t="shared" si="100"/>
        <v>27735</v>
      </c>
    </row>
    <row r="193" spans="1:17" x14ac:dyDescent="0.25">
      <c r="A193" s="7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50"/>
      <c r="M193" s="50"/>
      <c r="N193" s="139"/>
      <c r="P193" s="181"/>
    </row>
    <row r="194" spans="1:17" x14ac:dyDescent="0.25">
      <c r="A194" s="12" t="s">
        <v>45</v>
      </c>
      <c r="B194" s="102">
        <f>+B176+B185+B192</f>
        <v>0</v>
      </c>
      <c r="C194" s="102">
        <f t="shared" ref="C194:K194" si="101">+C176+C185+C192</f>
        <v>0</v>
      </c>
      <c r="D194" s="102">
        <f t="shared" si="101"/>
        <v>79253</v>
      </c>
      <c r="E194" s="102">
        <f t="shared" si="101"/>
        <v>12224</v>
      </c>
      <c r="F194" s="102">
        <f t="shared" si="101"/>
        <v>41201</v>
      </c>
      <c r="G194" s="102">
        <f t="shared" si="101"/>
        <v>0</v>
      </c>
      <c r="H194" s="102">
        <f t="shared" si="101"/>
        <v>0</v>
      </c>
      <c r="I194" s="102">
        <f t="shared" si="101"/>
        <v>0</v>
      </c>
      <c r="J194" s="102">
        <f t="shared" si="101"/>
        <v>69999.722500000003</v>
      </c>
      <c r="K194" s="102">
        <f t="shared" si="101"/>
        <v>3802</v>
      </c>
      <c r="L194" s="63">
        <f>+L176+L185+L192</f>
        <v>206479.7225</v>
      </c>
      <c r="M194" s="63">
        <f>+M176+M192+M185</f>
        <v>215183</v>
      </c>
      <c r="N194" s="146">
        <f t="shared" ref="N194" si="102">+N176+N185+N192</f>
        <v>-8703.2775000000001</v>
      </c>
      <c r="O194" s="136">
        <f t="shared" ref="O194" si="103">IF(M194,+N194/M194,0)</f>
        <v>-4.044593439072789E-2</v>
      </c>
      <c r="P194" s="194">
        <f>+P176+P192+P185</f>
        <v>207450</v>
      </c>
    </row>
    <row r="195" spans="1:17" x14ac:dyDescent="0.25">
      <c r="A195" s="3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50"/>
      <c r="M195" s="50"/>
      <c r="N195" s="139"/>
      <c r="P195" s="181"/>
    </row>
    <row r="196" spans="1:17" x14ac:dyDescent="0.25">
      <c r="A196" s="12" t="s">
        <v>108</v>
      </c>
      <c r="B196" s="13">
        <f t="shared" ref="B196:M196" si="104">+B156+B162+B167+B194</f>
        <v>0</v>
      </c>
      <c r="C196" s="13">
        <f t="shared" si="104"/>
        <v>37000</v>
      </c>
      <c r="D196" s="13">
        <f t="shared" si="104"/>
        <v>79253</v>
      </c>
      <c r="E196" s="13">
        <f t="shared" si="104"/>
        <v>12224</v>
      </c>
      <c r="F196" s="13">
        <f t="shared" si="104"/>
        <v>41201</v>
      </c>
      <c r="G196" s="13">
        <f t="shared" si="104"/>
        <v>0</v>
      </c>
      <c r="H196" s="13">
        <f t="shared" si="104"/>
        <v>0</v>
      </c>
      <c r="I196" s="13">
        <f t="shared" si="104"/>
        <v>0</v>
      </c>
      <c r="J196" s="13">
        <f t="shared" si="104"/>
        <v>69999.722500000003</v>
      </c>
      <c r="K196" s="13">
        <f t="shared" si="104"/>
        <v>13802</v>
      </c>
      <c r="L196" s="60">
        <f t="shared" si="104"/>
        <v>253479.7225</v>
      </c>
      <c r="M196" s="52">
        <f t="shared" si="104"/>
        <v>254283</v>
      </c>
      <c r="N196" s="145">
        <f>+N156+N162+N167+N194</f>
        <v>-803.27750000000015</v>
      </c>
      <c r="O196" s="136">
        <f t="shared" ref="O196" si="105">IF(M196,+N196/M196,0)</f>
        <v>-3.1589901802322614E-3</v>
      </c>
      <c r="P196" s="187">
        <f>+P156+P162+P167+P194</f>
        <v>245866</v>
      </c>
    </row>
    <row r="197" spans="1:17" x14ac:dyDescent="0.25">
      <c r="A197" s="1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56"/>
      <c r="M197" s="56"/>
      <c r="N197" s="139"/>
      <c r="P197" s="195"/>
    </row>
    <row r="198" spans="1:17" x14ac:dyDescent="0.25">
      <c r="A198" s="3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50"/>
      <c r="M198" s="50"/>
      <c r="N198" s="139"/>
      <c r="P198" s="181"/>
    </row>
    <row r="199" spans="1:17" x14ac:dyDescent="0.25">
      <c r="A199" s="20" t="s">
        <v>109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50"/>
      <c r="M199" s="50"/>
      <c r="N199" s="147"/>
      <c r="O199" s="148"/>
      <c r="P199" s="181"/>
    </row>
    <row r="200" spans="1:17" x14ac:dyDescent="0.25">
      <c r="A200" s="9" t="s">
        <v>110</v>
      </c>
      <c r="B200" s="10">
        <v>120709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50">
        <f>SUM(B200:K200)</f>
        <v>120709</v>
      </c>
      <c r="M200" s="50">
        <v>108753</v>
      </c>
      <c r="N200" s="139">
        <f t="shared" ref="N200:N201" si="106">+L200-M200</f>
        <v>11956</v>
      </c>
      <c r="O200" s="134">
        <f t="shared" ref="O200:O202" si="107">IF(M200,+N200/M200,0)</f>
        <v>0.10993719713479168</v>
      </c>
      <c r="P200" s="181">
        <v>107678</v>
      </c>
      <c r="Q200" s="104" t="s">
        <v>286</v>
      </c>
    </row>
    <row r="201" spans="1:17" x14ac:dyDescent="0.25">
      <c r="A201" s="9" t="s">
        <v>111</v>
      </c>
      <c r="B201" s="10">
        <v>11464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50">
        <f>SUM(B201:K201)</f>
        <v>11464</v>
      </c>
      <c r="M201" s="50">
        <v>11959</v>
      </c>
      <c r="N201" s="139">
        <f t="shared" si="106"/>
        <v>-495</v>
      </c>
      <c r="O201" s="134">
        <f t="shared" si="107"/>
        <v>-4.139142068734844E-2</v>
      </c>
      <c r="P201" s="181">
        <v>11486</v>
      </c>
      <c r="Q201" s="104" t="s">
        <v>287</v>
      </c>
    </row>
    <row r="202" spans="1:17" x14ac:dyDescent="0.25">
      <c r="A202" s="30" t="s">
        <v>112</v>
      </c>
      <c r="B202" s="17">
        <f t="shared" ref="B202:M202" si="108">SUM(B200:B201)</f>
        <v>132173</v>
      </c>
      <c r="C202" s="17">
        <f t="shared" si="108"/>
        <v>0</v>
      </c>
      <c r="D202" s="17">
        <f t="shared" si="108"/>
        <v>0</v>
      </c>
      <c r="E202" s="17">
        <f t="shared" si="108"/>
        <v>0</v>
      </c>
      <c r="F202" s="17">
        <f t="shared" si="108"/>
        <v>0</v>
      </c>
      <c r="G202" s="17">
        <f t="shared" si="108"/>
        <v>0</v>
      </c>
      <c r="H202" s="17">
        <f t="shared" si="108"/>
        <v>0</v>
      </c>
      <c r="I202" s="17">
        <f t="shared" si="108"/>
        <v>0</v>
      </c>
      <c r="J202" s="17">
        <f t="shared" si="108"/>
        <v>0</v>
      </c>
      <c r="K202" s="17">
        <f t="shared" si="108"/>
        <v>0</v>
      </c>
      <c r="L202" s="63">
        <f t="shared" si="108"/>
        <v>132173</v>
      </c>
      <c r="M202" s="59">
        <f t="shared" si="108"/>
        <v>120712</v>
      </c>
      <c r="N202" s="138">
        <f>SUM(N200:N201)</f>
        <v>11461</v>
      </c>
      <c r="O202" s="136">
        <f t="shared" si="107"/>
        <v>9.4944993041288353E-2</v>
      </c>
      <c r="P202" s="192">
        <f>SUM(P200:P201)</f>
        <v>119164</v>
      </c>
      <c r="Q202" s="104"/>
    </row>
    <row r="203" spans="1:17" x14ac:dyDescent="0.25">
      <c r="A203" s="3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50"/>
      <c r="M203" s="50"/>
      <c r="N203" s="139"/>
      <c r="P203" s="181"/>
      <c r="Q203" s="104"/>
    </row>
    <row r="204" spans="1:17" x14ac:dyDescent="0.25">
      <c r="A204" s="19" t="s">
        <v>113</v>
      </c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50"/>
      <c r="M204" s="50"/>
      <c r="N204" s="139"/>
      <c r="P204" s="181"/>
      <c r="Q204" s="104"/>
    </row>
    <row r="205" spans="1:17" s="62" customFormat="1" x14ac:dyDescent="0.25">
      <c r="A205" s="161" t="s">
        <v>114</v>
      </c>
      <c r="B205" s="162">
        <v>51755</v>
      </c>
      <c r="C205" s="162"/>
      <c r="D205" s="162"/>
      <c r="E205" s="162"/>
      <c r="F205" s="162"/>
      <c r="G205" s="162"/>
      <c r="H205" s="162"/>
      <c r="I205" s="162"/>
      <c r="J205" s="162"/>
      <c r="K205" s="162"/>
      <c r="L205" s="51">
        <f>SUM(B205:K205)</f>
        <v>51755</v>
      </c>
      <c r="M205" s="51">
        <v>50740</v>
      </c>
      <c r="N205" s="139">
        <f t="shared" ref="N205" si="109">+L205-M205</f>
        <v>1015</v>
      </c>
      <c r="O205" s="134">
        <f t="shared" ref="O205" si="110">IF(M205,+N205/M205,0)</f>
        <v>2.0003941663381947E-2</v>
      </c>
      <c r="P205" s="181">
        <v>50488</v>
      </c>
      <c r="Q205" s="104" t="s">
        <v>312</v>
      </c>
    </row>
    <row r="206" spans="1:17" x14ac:dyDescent="0.25">
      <c r="A206" s="9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55"/>
      <c r="M206" s="55"/>
      <c r="N206" s="139"/>
      <c r="P206" s="181"/>
    </row>
    <row r="207" spans="1:17" x14ac:dyDescent="0.25">
      <c r="A207" s="7" t="s">
        <v>115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57"/>
      <c r="M207" s="57"/>
      <c r="N207" s="139"/>
      <c r="P207" s="185"/>
    </row>
    <row r="208" spans="1:17" x14ac:dyDescent="0.25">
      <c r="A208" s="9" t="s">
        <v>116</v>
      </c>
      <c r="B208" s="10">
        <v>7700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51">
        <f t="shared" ref="L208:L221" si="111">SUM(B208:K208)</f>
        <v>7700</v>
      </c>
      <c r="M208" s="51">
        <v>7700</v>
      </c>
      <c r="N208" s="139">
        <f t="shared" ref="N208:N222" si="112">+L208-M208</f>
        <v>0</v>
      </c>
      <c r="O208" s="134">
        <f t="shared" ref="O208:O223" si="113">IF(M208,+N208/M208,0)</f>
        <v>0</v>
      </c>
      <c r="P208" s="181">
        <v>6824</v>
      </c>
    </row>
    <row r="209" spans="1:17" x14ac:dyDescent="0.25">
      <c r="A209" s="109" t="s">
        <v>292</v>
      </c>
      <c r="B209" s="10">
        <v>7500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51">
        <f t="shared" si="111"/>
        <v>7500</v>
      </c>
      <c r="M209" s="51">
        <v>10400</v>
      </c>
      <c r="N209" s="139">
        <f t="shared" si="112"/>
        <v>-2900</v>
      </c>
      <c r="O209" s="134">
        <f t="shared" si="113"/>
        <v>-0.27884615384615385</v>
      </c>
      <c r="P209" s="181">
        <v>8061</v>
      </c>
    </row>
    <row r="210" spans="1:17" x14ac:dyDescent="0.25">
      <c r="A210" s="9" t="s">
        <v>117</v>
      </c>
      <c r="B210" s="110">
        <f>5000-2000</f>
        <v>3000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51">
        <f t="shared" si="111"/>
        <v>3000</v>
      </c>
      <c r="M210" s="51">
        <v>5000</v>
      </c>
      <c r="N210" s="139">
        <f t="shared" si="112"/>
        <v>-2000</v>
      </c>
      <c r="O210" s="134">
        <f t="shared" si="113"/>
        <v>-0.4</v>
      </c>
      <c r="P210" s="181">
        <v>1226</v>
      </c>
    </row>
    <row r="211" spans="1:17" x14ac:dyDescent="0.25">
      <c r="A211" s="9" t="s">
        <v>118</v>
      </c>
      <c r="B211" s="10">
        <v>8300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51">
        <f t="shared" si="111"/>
        <v>8300</v>
      </c>
      <c r="M211" s="51">
        <v>8300</v>
      </c>
      <c r="N211" s="139">
        <f t="shared" si="112"/>
        <v>0</v>
      </c>
      <c r="O211" s="134">
        <f t="shared" si="113"/>
        <v>0</v>
      </c>
      <c r="P211" s="181">
        <v>10773</v>
      </c>
    </row>
    <row r="212" spans="1:17" x14ac:dyDescent="0.25">
      <c r="A212" s="9" t="s">
        <v>119</v>
      </c>
      <c r="B212" s="10">
        <v>10000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51">
        <f t="shared" si="111"/>
        <v>10000</v>
      </c>
      <c r="M212" s="51">
        <v>10000</v>
      </c>
      <c r="N212" s="139">
        <f t="shared" si="112"/>
        <v>0</v>
      </c>
      <c r="O212" s="134">
        <f t="shared" si="113"/>
        <v>0</v>
      </c>
      <c r="P212" s="181">
        <v>11853</v>
      </c>
    </row>
    <row r="213" spans="1:17" x14ac:dyDescent="0.25">
      <c r="A213" s="9" t="s">
        <v>120</v>
      </c>
      <c r="B213" s="10">
        <v>500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51">
        <f t="shared" si="111"/>
        <v>500</v>
      </c>
      <c r="M213" s="51">
        <v>500</v>
      </c>
      <c r="N213" s="139">
        <f t="shared" si="112"/>
        <v>0</v>
      </c>
      <c r="O213" s="134">
        <f t="shared" si="113"/>
        <v>0</v>
      </c>
      <c r="P213" s="181">
        <v>0</v>
      </c>
    </row>
    <row r="214" spans="1:17" x14ac:dyDescent="0.25">
      <c r="A214" s="161" t="s">
        <v>121</v>
      </c>
      <c r="B214" s="10">
        <v>2625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51">
        <f t="shared" si="111"/>
        <v>2625</v>
      </c>
      <c r="M214" s="51">
        <v>2625</v>
      </c>
      <c r="N214" s="139">
        <f t="shared" si="112"/>
        <v>0</v>
      </c>
      <c r="O214" s="134">
        <f t="shared" si="113"/>
        <v>0</v>
      </c>
      <c r="P214" s="181">
        <v>2191</v>
      </c>
    </row>
    <row r="215" spans="1:17" x14ac:dyDescent="0.25">
      <c r="A215" s="9" t="s">
        <v>122</v>
      </c>
      <c r="B215" s="10">
        <v>2500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51">
        <f t="shared" si="111"/>
        <v>2500</v>
      </c>
      <c r="M215" s="51">
        <v>2500</v>
      </c>
      <c r="N215" s="139">
        <f t="shared" si="112"/>
        <v>0</v>
      </c>
      <c r="O215" s="134">
        <f t="shared" si="113"/>
        <v>0</v>
      </c>
      <c r="P215" s="181">
        <v>2374</v>
      </c>
    </row>
    <row r="216" spans="1:17" x14ac:dyDescent="0.25">
      <c r="A216" s="9" t="s">
        <v>123</v>
      </c>
      <c r="B216" s="10">
        <v>5000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51">
        <f t="shared" si="111"/>
        <v>5000</v>
      </c>
      <c r="M216" s="51">
        <v>5000</v>
      </c>
      <c r="N216" s="139">
        <f t="shared" si="112"/>
        <v>0</v>
      </c>
      <c r="O216" s="134">
        <f t="shared" si="113"/>
        <v>0</v>
      </c>
      <c r="P216" s="181">
        <v>7202</v>
      </c>
    </row>
    <row r="217" spans="1:17" x14ac:dyDescent="0.25">
      <c r="A217" s="9" t="s">
        <v>124</v>
      </c>
      <c r="B217" s="103">
        <v>0</v>
      </c>
      <c r="C217" s="10"/>
      <c r="D217" s="110">
        <v>6000</v>
      </c>
      <c r="E217" s="10"/>
      <c r="F217" s="10"/>
      <c r="G217" s="10"/>
      <c r="H217" s="10"/>
      <c r="I217" s="10"/>
      <c r="J217" s="10"/>
      <c r="K217" s="10"/>
      <c r="L217" s="51">
        <f t="shared" si="111"/>
        <v>6000</v>
      </c>
      <c r="M217" s="51">
        <v>7000</v>
      </c>
      <c r="N217" s="139">
        <f t="shared" si="112"/>
        <v>-1000</v>
      </c>
      <c r="O217" s="134">
        <f t="shared" si="113"/>
        <v>-0.14285714285714285</v>
      </c>
      <c r="P217" s="181">
        <v>5327</v>
      </c>
    </row>
    <row r="218" spans="1:17" x14ac:dyDescent="0.25">
      <c r="A218" s="9" t="s">
        <v>125</v>
      </c>
      <c r="B218" s="10"/>
      <c r="C218" s="10"/>
      <c r="D218" s="10">
        <v>10000</v>
      </c>
      <c r="E218" s="10"/>
      <c r="F218" s="10"/>
      <c r="G218" s="10"/>
      <c r="H218" s="10"/>
      <c r="I218" s="10"/>
      <c r="J218" s="10"/>
      <c r="K218" s="10"/>
      <c r="L218" s="51">
        <f t="shared" si="111"/>
        <v>10000</v>
      </c>
      <c r="M218" s="51">
        <v>10000</v>
      </c>
      <c r="N218" s="139">
        <f t="shared" si="112"/>
        <v>0</v>
      </c>
      <c r="O218" s="134">
        <f t="shared" si="113"/>
        <v>0</v>
      </c>
      <c r="P218" s="181">
        <v>12049</v>
      </c>
    </row>
    <row r="219" spans="1:17" x14ac:dyDescent="0.25">
      <c r="A219" s="9" t="s">
        <v>126</v>
      </c>
      <c r="B219" s="10">
        <v>2000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51">
        <f t="shared" si="111"/>
        <v>2000</v>
      </c>
      <c r="M219" s="51">
        <v>2000</v>
      </c>
      <c r="N219" s="139">
        <f t="shared" si="112"/>
        <v>0</v>
      </c>
      <c r="O219" s="134">
        <f t="shared" si="113"/>
        <v>0</v>
      </c>
      <c r="P219" s="181">
        <v>0</v>
      </c>
    </row>
    <row r="220" spans="1:17" x14ac:dyDescent="0.25">
      <c r="A220" s="9" t="s">
        <v>127</v>
      </c>
      <c r="B220" s="10">
        <v>0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51">
        <f t="shared" si="111"/>
        <v>0</v>
      </c>
      <c r="M220" s="51">
        <v>0</v>
      </c>
      <c r="N220" s="139">
        <f t="shared" si="112"/>
        <v>0</v>
      </c>
      <c r="O220" s="134">
        <f t="shared" si="113"/>
        <v>0</v>
      </c>
      <c r="P220" s="188">
        <v>3356</v>
      </c>
      <c r="Q220" s="62" t="s">
        <v>313</v>
      </c>
    </row>
    <row r="221" spans="1:17" x14ac:dyDescent="0.25">
      <c r="A221" s="15" t="s">
        <v>222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>
        <v>1220</v>
      </c>
      <c r="L221" s="51">
        <f t="shared" si="111"/>
        <v>1220</v>
      </c>
      <c r="M221" s="51">
        <v>0</v>
      </c>
      <c r="N221" s="139">
        <f t="shared" si="112"/>
        <v>1220</v>
      </c>
      <c r="O221" s="134">
        <f t="shared" si="113"/>
        <v>0</v>
      </c>
      <c r="P221" s="188">
        <v>305</v>
      </c>
      <c r="Q221" s="104" t="s">
        <v>279</v>
      </c>
    </row>
    <row r="222" spans="1:17" x14ac:dyDescent="0.25">
      <c r="A222" s="9" t="s">
        <v>128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51">
        <f>SUM(B222:K222)</f>
        <v>0</v>
      </c>
      <c r="M222" s="51">
        <v>0</v>
      </c>
      <c r="N222" s="139">
        <f t="shared" si="112"/>
        <v>0</v>
      </c>
      <c r="O222" s="134">
        <f t="shared" si="113"/>
        <v>0</v>
      </c>
      <c r="P222" s="188">
        <v>71</v>
      </c>
    </row>
    <row r="223" spans="1:17" x14ac:dyDescent="0.25">
      <c r="A223" s="12" t="s">
        <v>129</v>
      </c>
      <c r="B223" s="13">
        <f t="shared" ref="B223:M223" si="114">SUM(B208:B222)</f>
        <v>49125</v>
      </c>
      <c r="C223" s="13">
        <f t="shared" si="114"/>
        <v>0</v>
      </c>
      <c r="D223" s="13">
        <f t="shared" si="114"/>
        <v>16000</v>
      </c>
      <c r="E223" s="13">
        <f t="shared" si="114"/>
        <v>0</v>
      </c>
      <c r="F223" s="13">
        <f t="shared" si="114"/>
        <v>0</v>
      </c>
      <c r="G223" s="13">
        <f t="shared" si="114"/>
        <v>0</v>
      </c>
      <c r="H223" s="13">
        <f t="shared" si="114"/>
        <v>0</v>
      </c>
      <c r="I223" s="13">
        <f t="shared" si="114"/>
        <v>0</v>
      </c>
      <c r="J223" s="13">
        <f t="shared" si="114"/>
        <v>0</v>
      </c>
      <c r="K223" s="13">
        <f t="shared" si="114"/>
        <v>1220</v>
      </c>
      <c r="L223" s="60">
        <f t="shared" si="114"/>
        <v>66345</v>
      </c>
      <c r="M223" s="52">
        <f t="shared" si="114"/>
        <v>71025</v>
      </c>
      <c r="N223" s="138">
        <f>SUM(N208:N222)</f>
        <v>-4680</v>
      </c>
      <c r="O223" s="136">
        <f t="shared" si="113"/>
        <v>-6.5892291446673704E-2</v>
      </c>
      <c r="P223" s="187">
        <f>SUM(P208:P222)</f>
        <v>71612</v>
      </c>
    </row>
    <row r="224" spans="1:17" x14ac:dyDescent="0.25">
      <c r="A224" s="7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50"/>
      <c r="M224" s="50"/>
      <c r="N224" s="139"/>
      <c r="P224" s="181"/>
    </row>
    <row r="225" spans="1:17" x14ac:dyDescent="0.25">
      <c r="A225" s="7" t="s">
        <v>130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53"/>
      <c r="M225" s="53"/>
      <c r="N225" s="139"/>
      <c r="P225" s="185"/>
    </row>
    <row r="226" spans="1:17" x14ac:dyDescent="0.25">
      <c r="A226" s="9" t="s">
        <v>131</v>
      </c>
      <c r="B226" s="10">
        <v>5000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51">
        <f>SUM(B226:K226)</f>
        <v>5000</v>
      </c>
      <c r="M226" s="51">
        <v>8000</v>
      </c>
      <c r="N226" s="139">
        <f t="shared" ref="N226:N228" si="115">+L226-M226</f>
        <v>-3000</v>
      </c>
      <c r="O226" s="134">
        <f t="shared" ref="O226:O229" si="116">IF(M226,+N226/M226,0)</f>
        <v>-0.375</v>
      </c>
      <c r="P226" s="181">
        <v>3593</v>
      </c>
    </row>
    <row r="227" spans="1:17" x14ac:dyDescent="0.25">
      <c r="A227" s="9" t="s">
        <v>130</v>
      </c>
      <c r="B227" s="10">
        <v>3000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51">
        <f>SUM(B227:K227)</f>
        <v>3000</v>
      </c>
      <c r="M227" s="51">
        <v>3000</v>
      </c>
      <c r="N227" s="139">
        <f t="shared" si="115"/>
        <v>0</v>
      </c>
      <c r="O227" s="134">
        <f t="shared" si="116"/>
        <v>0</v>
      </c>
      <c r="P227" s="181">
        <v>1479</v>
      </c>
    </row>
    <row r="228" spans="1:17" x14ac:dyDescent="0.25">
      <c r="A228" s="109" t="s">
        <v>291</v>
      </c>
      <c r="B228" s="10">
        <v>6000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51">
        <f>SUM(B228:K228)</f>
        <v>6000</v>
      </c>
      <c r="M228" s="51">
        <v>1000</v>
      </c>
      <c r="N228" s="139">
        <f t="shared" si="115"/>
        <v>5000</v>
      </c>
      <c r="O228" s="134">
        <f t="shared" si="116"/>
        <v>5</v>
      </c>
      <c r="P228" s="181">
        <v>1057</v>
      </c>
      <c r="Q228" s="67" t="s">
        <v>241</v>
      </c>
    </row>
    <row r="229" spans="1:17" x14ac:dyDescent="0.25">
      <c r="A229" s="12" t="s">
        <v>132</v>
      </c>
      <c r="B229" s="17">
        <f t="shared" ref="B229:M229" si="117">SUM(B226:B228)</f>
        <v>14000</v>
      </c>
      <c r="C229" s="17">
        <f t="shared" si="117"/>
        <v>0</v>
      </c>
      <c r="D229" s="17">
        <f t="shared" si="117"/>
        <v>0</v>
      </c>
      <c r="E229" s="17">
        <f t="shared" si="117"/>
        <v>0</v>
      </c>
      <c r="F229" s="17">
        <f t="shared" si="117"/>
        <v>0</v>
      </c>
      <c r="G229" s="17">
        <f t="shared" si="117"/>
        <v>0</v>
      </c>
      <c r="H229" s="17">
        <f t="shared" si="117"/>
        <v>0</v>
      </c>
      <c r="I229" s="17">
        <f t="shared" si="117"/>
        <v>0</v>
      </c>
      <c r="J229" s="17">
        <f t="shared" si="117"/>
        <v>0</v>
      </c>
      <c r="K229" s="17">
        <f t="shared" si="117"/>
        <v>0</v>
      </c>
      <c r="L229" s="63">
        <f t="shared" si="117"/>
        <v>14000</v>
      </c>
      <c r="M229" s="63">
        <f t="shared" si="117"/>
        <v>12000</v>
      </c>
      <c r="N229" s="138">
        <f>SUM(N226:N228)</f>
        <v>2000</v>
      </c>
      <c r="O229" s="136">
        <f t="shared" si="116"/>
        <v>0.16666666666666666</v>
      </c>
      <c r="P229" s="194">
        <f>SUM(P226:P228)</f>
        <v>6129</v>
      </c>
    </row>
    <row r="230" spans="1:17" x14ac:dyDescent="0.25">
      <c r="A230" s="7"/>
      <c r="B230" s="29"/>
      <c r="C230" s="29"/>
      <c r="D230" s="212"/>
      <c r="E230" s="29"/>
      <c r="F230" s="29"/>
      <c r="G230" s="29"/>
      <c r="H230" s="29"/>
      <c r="I230" s="29"/>
      <c r="J230" s="29"/>
      <c r="K230" s="29"/>
      <c r="L230" s="53"/>
      <c r="M230" s="53"/>
      <c r="N230" s="139"/>
      <c r="P230" s="185"/>
    </row>
    <row r="231" spans="1:17" x14ac:dyDescent="0.25">
      <c r="A231" s="7" t="s">
        <v>39</v>
      </c>
      <c r="B231" s="29"/>
      <c r="C231" s="29"/>
      <c r="D231" s="212"/>
      <c r="E231" s="29"/>
      <c r="F231" s="29"/>
      <c r="G231" s="29"/>
      <c r="H231" s="29"/>
      <c r="I231" s="29"/>
      <c r="J231" s="29"/>
      <c r="K231" s="29"/>
      <c r="L231" s="53"/>
      <c r="M231" s="53"/>
      <c r="N231" s="139"/>
      <c r="P231" s="185"/>
      <c r="Q231" s="104"/>
    </row>
    <row r="232" spans="1:17" s="62" customFormat="1" x14ac:dyDescent="0.25">
      <c r="A232" s="161" t="s">
        <v>133</v>
      </c>
      <c r="B232" s="162"/>
      <c r="C232" s="162"/>
      <c r="D232" s="162">
        <v>55551</v>
      </c>
      <c r="E232" s="162"/>
      <c r="F232" s="162"/>
      <c r="G232" s="162"/>
      <c r="H232" s="162"/>
      <c r="I232" s="162"/>
      <c r="J232" s="162"/>
      <c r="K232" s="162"/>
      <c r="L232" s="51">
        <f>SUM(B232:K232)</f>
        <v>55551</v>
      </c>
      <c r="M232" s="51">
        <v>54329</v>
      </c>
      <c r="N232" s="139">
        <f t="shared" ref="N232:N234" si="118">+L232-M232</f>
        <v>1222</v>
      </c>
      <c r="O232" s="134">
        <f t="shared" ref="O232:O235" si="119">IF(M232,+N232/M232,0)</f>
        <v>2.2492591433672625E-2</v>
      </c>
      <c r="P232" s="181">
        <v>53791</v>
      </c>
      <c r="Q232" s="104" t="s">
        <v>302</v>
      </c>
    </row>
    <row r="233" spans="1:17" s="62" customFormat="1" x14ac:dyDescent="0.25">
      <c r="A233" s="161" t="s">
        <v>134</v>
      </c>
      <c r="B233" s="162"/>
      <c r="C233" s="162"/>
      <c r="D233" s="162">
        <f>6111+1254+13851</f>
        <v>21216</v>
      </c>
      <c r="E233" s="162"/>
      <c r="F233" s="162"/>
      <c r="G233" s="162"/>
      <c r="H233" s="162"/>
      <c r="I233" s="162"/>
      <c r="J233" s="162"/>
      <c r="K233" s="162"/>
      <c r="L233" s="51">
        <f>SUM(B233:K233)</f>
        <v>21216</v>
      </c>
      <c r="M233" s="51">
        <v>20132</v>
      </c>
      <c r="N233" s="139">
        <f t="shared" si="118"/>
        <v>1084</v>
      </c>
      <c r="O233" s="134">
        <f t="shared" si="119"/>
        <v>5.3844625471885559E-2</v>
      </c>
      <c r="P233" s="181">
        <f>5917+14096</f>
        <v>20013</v>
      </c>
      <c r="Q233" s="104"/>
    </row>
    <row r="234" spans="1:17" s="62" customFormat="1" x14ac:dyDescent="0.25">
      <c r="A234" s="161" t="s">
        <v>135</v>
      </c>
      <c r="B234" s="163"/>
      <c r="C234" s="163"/>
      <c r="D234" s="163">
        <f>+D232*7.65%</f>
        <v>4249.6514999999999</v>
      </c>
      <c r="E234" s="163"/>
      <c r="F234" s="163"/>
      <c r="G234" s="163"/>
      <c r="H234" s="163"/>
      <c r="I234" s="163"/>
      <c r="J234" s="163"/>
      <c r="K234" s="163"/>
      <c r="L234" s="51">
        <f>SUM(B234:K234)</f>
        <v>4249.6514999999999</v>
      </c>
      <c r="M234" s="51">
        <v>4156</v>
      </c>
      <c r="N234" s="139">
        <f t="shared" si="118"/>
        <v>93.651499999999942</v>
      </c>
      <c r="O234" s="134">
        <f t="shared" si="119"/>
        <v>2.2534047160731457E-2</v>
      </c>
      <c r="P234" s="181">
        <v>3928</v>
      </c>
      <c r="Q234" s="104"/>
    </row>
    <row r="235" spans="1:17" x14ac:dyDescent="0.25">
      <c r="A235" s="12" t="s">
        <v>136</v>
      </c>
      <c r="B235" s="13">
        <f t="shared" ref="B235:P235" si="120">SUM(B232:B234)</f>
        <v>0</v>
      </c>
      <c r="C235" s="13">
        <f t="shared" si="120"/>
        <v>0</v>
      </c>
      <c r="D235" s="13">
        <f t="shared" si="120"/>
        <v>81016.651500000007</v>
      </c>
      <c r="E235" s="13">
        <f t="shared" si="120"/>
        <v>0</v>
      </c>
      <c r="F235" s="13">
        <f t="shared" si="120"/>
        <v>0</v>
      </c>
      <c r="G235" s="13">
        <f t="shared" si="120"/>
        <v>0</v>
      </c>
      <c r="H235" s="13">
        <f t="shared" si="120"/>
        <v>0</v>
      </c>
      <c r="I235" s="13">
        <f t="shared" si="120"/>
        <v>0</v>
      </c>
      <c r="J235" s="13">
        <f t="shared" si="120"/>
        <v>0</v>
      </c>
      <c r="K235" s="13">
        <f t="shared" si="120"/>
        <v>0</v>
      </c>
      <c r="L235" s="60">
        <f t="shared" si="120"/>
        <v>81016.651500000007</v>
      </c>
      <c r="M235" s="52">
        <f t="shared" si="120"/>
        <v>78617</v>
      </c>
      <c r="N235" s="138">
        <f>SUM(N232:N234)</f>
        <v>2399.6514999999999</v>
      </c>
      <c r="O235" s="136">
        <f t="shared" si="119"/>
        <v>3.0523315567879721E-2</v>
      </c>
      <c r="P235" s="187">
        <f t="shared" si="120"/>
        <v>77732</v>
      </c>
      <c r="Q235" s="104"/>
    </row>
    <row r="236" spans="1:17" x14ac:dyDescent="0.25">
      <c r="A236" s="9"/>
      <c r="B236" s="8"/>
      <c r="C236" s="165"/>
      <c r="D236" s="165"/>
      <c r="E236" s="165"/>
      <c r="F236" s="8"/>
      <c r="G236" s="8"/>
      <c r="H236" s="8"/>
      <c r="I236" s="8"/>
      <c r="J236" s="8"/>
      <c r="K236" s="8"/>
      <c r="L236" s="50"/>
      <c r="M236" s="50"/>
      <c r="N236" s="139"/>
      <c r="P236" s="181"/>
      <c r="Q236" s="104"/>
    </row>
    <row r="237" spans="1:17" s="62" customFormat="1" x14ac:dyDescent="0.25">
      <c r="A237" s="161" t="s">
        <v>137</v>
      </c>
      <c r="B237" s="162"/>
      <c r="C237" s="162"/>
      <c r="D237" s="162">
        <v>48086</v>
      </c>
      <c r="E237" s="162"/>
      <c r="F237" s="162"/>
      <c r="G237" s="162"/>
      <c r="H237" s="162"/>
      <c r="I237" s="162"/>
      <c r="J237" s="162"/>
      <c r="K237" s="162"/>
      <c r="L237" s="51">
        <f>SUM(B237:K237)</f>
        <v>48086</v>
      </c>
      <c r="M237" s="51">
        <v>47028</v>
      </c>
      <c r="N237" s="139">
        <f t="shared" ref="N237:N239" si="121">+L237-M237</f>
        <v>1058</v>
      </c>
      <c r="O237" s="134">
        <f t="shared" ref="O237:O240" si="122">IF(M237,+N237/M237,0)</f>
        <v>2.2497235689376543E-2</v>
      </c>
      <c r="P237" s="181">
        <v>46563</v>
      </c>
      <c r="Q237" s="104" t="s">
        <v>302</v>
      </c>
    </row>
    <row r="238" spans="1:17" s="62" customFormat="1" x14ac:dyDescent="0.25">
      <c r="A238" s="161" t="s">
        <v>138</v>
      </c>
      <c r="B238" s="162"/>
      <c r="C238" s="162"/>
      <c r="D238" s="162">
        <f>5289+1094+13851</f>
        <v>20234</v>
      </c>
      <c r="E238" s="162"/>
      <c r="F238" s="162"/>
      <c r="G238" s="162"/>
      <c r="H238" s="162"/>
      <c r="I238" s="162"/>
      <c r="J238" s="162"/>
      <c r="K238" s="162"/>
      <c r="L238" s="51">
        <f>SUM(B238:K238)</f>
        <v>20234</v>
      </c>
      <c r="M238" s="51">
        <v>19129</v>
      </c>
      <c r="N238" s="139">
        <f t="shared" si="121"/>
        <v>1105</v>
      </c>
      <c r="O238" s="134">
        <f t="shared" si="122"/>
        <v>5.7765696063568406E-2</v>
      </c>
      <c r="P238" s="181">
        <f>5122+13928</f>
        <v>19050</v>
      </c>
      <c r="Q238" s="104"/>
    </row>
    <row r="239" spans="1:17" s="62" customFormat="1" x14ac:dyDescent="0.25">
      <c r="A239" s="161" t="s">
        <v>139</v>
      </c>
      <c r="B239" s="162"/>
      <c r="C239" s="162"/>
      <c r="D239" s="157">
        <f>+D237*7.65%</f>
        <v>3678.5789999999997</v>
      </c>
      <c r="E239" s="162"/>
      <c r="F239" s="162"/>
      <c r="G239" s="162"/>
      <c r="H239" s="162"/>
      <c r="I239" s="162"/>
      <c r="J239" s="162"/>
      <c r="K239" s="162"/>
      <c r="L239" s="51">
        <f>SUM(B239:K239)</f>
        <v>3678.5789999999997</v>
      </c>
      <c r="M239" s="51">
        <v>3598</v>
      </c>
      <c r="N239" s="139">
        <f t="shared" si="121"/>
        <v>80.578999999999724</v>
      </c>
      <c r="O239" s="134">
        <f t="shared" si="122"/>
        <v>2.2395497498610261E-2</v>
      </c>
      <c r="P239" s="181">
        <v>3513</v>
      </c>
      <c r="Q239" s="104"/>
    </row>
    <row r="240" spans="1:17" x14ac:dyDescent="0.25">
      <c r="A240" s="12" t="s">
        <v>140</v>
      </c>
      <c r="B240" s="13">
        <f t="shared" ref="B240:P240" si="123">SUM(B237:B239)</f>
        <v>0</v>
      </c>
      <c r="C240" s="209">
        <f t="shared" si="123"/>
        <v>0</v>
      </c>
      <c r="D240" s="209">
        <f t="shared" si="123"/>
        <v>71998.578999999998</v>
      </c>
      <c r="E240" s="209">
        <f t="shared" si="123"/>
        <v>0</v>
      </c>
      <c r="F240" s="13">
        <f t="shared" si="123"/>
        <v>0</v>
      </c>
      <c r="G240" s="13">
        <f t="shared" si="123"/>
        <v>0</v>
      </c>
      <c r="H240" s="13">
        <f t="shared" si="123"/>
        <v>0</v>
      </c>
      <c r="I240" s="13">
        <f t="shared" si="123"/>
        <v>0</v>
      </c>
      <c r="J240" s="13">
        <f t="shared" si="123"/>
        <v>0</v>
      </c>
      <c r="K240" s="13">
        <f t="shared" si="123"/>
        <v>0</v>
      </c>
      <c r="L240" s="60">
        <f t="shared" si="123"/>
        <v>71998.578999999998</v>
      </c>
      <c r="M240" s="52">
        <f t="shared" si="123"/>
        <v>69755</v>
      </c>
      <c r="N240" s="138">
        <f>SUM(N237:N239)</f>
        <v>2243.5789999999997</v>
      </c>
      <c r="O240" s="136">
        <f t="shared" si="122"/>
        <v>3.2163701526772268E-2</v>
      </c>
      <c r="P240" s="187">
        <f t="shared" si="123"/>
        <v>69126</v>
      </c>
      <c r="Q240" s="104"/>
    </row>
    <row r="241" spans="1:20" x14ac:dyDescent="0.25">
      <c r="A241" s="9"/>
      <c r="B241" s="8"/>
      <c r="C241" s="165"/>
      <c r="D241" s="165"/>
      <c r="E241" s="165"/>
      <c r="F241" s="8"/>
      <c r="G241" s="8"/>
      <c r="H241" s="8"/>
      <c r="I241" s="8"/>
      <c r="J241" s="8"/>
      <c r="K241" s="8"/>
      <c r="L241" s="50"/>
      <c r="M241" s="50"/>
      <c r="N241" s="139"/>
      <c r="P241" s="181"/>
      <c r="Q241" s="104"/>
    </row>
    <row r="242" spans="1:20" s="62" customFormat="1" x14ac:dyDescent="0.25">
      <c r="A242" s="161" t="s">
        <v>141</v>
      </c>
      <c r="B242" s="162"/>
      <c r="C242" s="162"/>
      <c r="D242" s="162">
        <f>44663-D243</f>
        <v>33497</v>
      </c>
      <c r="E242" s="162"/>
      <c r="F242" s="162"/>
      <c r="G242" s="162"/>
      <c r="H242" s="162"/>
      <c r="I242" s="162"/>
      <c r="J242" s="162"/>
      <c r="K242" s="162"/>
      <c r="L242" s="50">
        <f>SUM(B242:K242)</f>
        <v>33497</v>
      </c>
      <c r="M242" s="50">
        <v>32895</v>
      </c>
      <c r="N242" s="139">
        <f t="shared" ref="N242:N245" si="124">+L242-M242</f>
        <v>602</v>
      </c>
      <c r="O242" s="134">
        <f t="shared" ref="O242:O246" si="125">IF(M242,+N242/M242,0)</f>
        <v>1.8300653594771243E-2</v>
      </c>
      <c r="P242" s="181">
        <v>37260</v>
      </c>
      <c r="Q242" s="104" t="s">
        <v>307</v>
      </c>
    </row>
    <row r="243" spans="1:20" s="62" customFormat="1" x14ac:dyDescent="0.25">
      <c r="A243" s="156" t="s">
        <v>263</v>
      </c>
      <c r="B243" s="162"/>
      <c r="C243" s="162"/>
      <c r="D243" s="162">
        <v>11166</v>
      </c>
      <c r="E243" s="162"/>
      <c r="F243" s="162"/>
      <c r="G243" s="162"/>
      <c r="H243" s="162"/>
      <c r="I243" s="162"/>
      <c r="J243" s="162"/>
      <c r="K243" s="162"/>
      <c r="L243" s="50">
        <f>SUM(B243:K243)</f>
        <v>11166</v>
      </c>
      <c r="M243" s="50">
        <v>10785</v>
      </c>
      <c r="N243" s="139">
        <f t="shared" si="124"/>
        <v>381</v>
      </c>
      <c r="O243" s="134">
        <f t="shared" si="125"/>
        <v>3.532684283727399E-2</v>
      </c>
      <c r="P243" s="181">
        <v>0</v>
      </c>
      <c r="Q243" s="104"/>
    </row>
    <row r="244" spans="1:20" x14ac:dyDescent="0.25">
      <c r="A244" s="9" t="s">
        <v>142</v>
      </c>
      <c r="B244" s="10"/>
      <c r="C244" s="162"/>
      <c r="D244" s="162"/>
      <c r="E244" s="162"/>
      <c r="F244" s="10"/>
      <c r="G244" s="10"/>
      <c r="H244" s="10"/>
      <c r="I244" s="10"/>
      <c r="J244" s="10"/>
      <c r="K244" s="10"/>
      <c r="L244" s="50">
        <f>SUM(B244:K244)</f>
        <v>0</v>
      </c>
      <c r="M244" s="50">
        <v>0</v>
      </c>
      <c r="N244" s="139">
        <f t="shared" si="124"/>
        <v>0</v>
      </c>
      <c r="O244" s="134">
        <f t="shared" si="125"/>
        <v>0</v>
      </c>
      <c r="P244" s="181">
        <v>0</v>
      </c>
      <c r="Q244" s="104"/>
    </row>
    <row r="245" spans="1:20" x14ac:dyDescent="0.25">
      <c r="A245" s="9" t="s">
        <v>143</v>
      </c>
      <c r="B245" s="16"/>
      <c r="C245" s="163"/>
      <c r="D245" s="163"/>
      <c r="E245" s="163"/>
      <c r="F245" s="16"/>
      <c r="G245" s="16"/>
      <c r="H245" s="16"/>
      <c r="I245" s="16"/>
      <c r="J245" s="16"/>
      <c r="K245" s="16"/>
      <c r="L245" s="50">
        <f>SUM(B245:K245)</f>
        <v>0</v>
      </c>
      <c r="M245" s="50">
        <v>0</v>
      </c>
      <c r="N245" s="139">
        <f t="shared" si="124"/>
        <v>0</v>
      </c>
      <c r="O245" s="134">
        <f t="shared" si="125"/>
        <v>0</v>
      </c>
      <c r="P245" s="181">
        <v>0</v>
      </c>
      <c r="Q245" s="104"/>
    </row>
    <row r="246" spans="1:20" x14ac:dyDescent="0.25">
      <c r="A246" s="12" t="s">
        <v>144</v>
      </c>
      <c r="B246" s="13">
        <f t="shared" ref="B246:P246" si="126">SUM(B242:B245)</f>
        <v>0</v>
      </c>
      <c r="C246" s="209">
        <f t="shared" si="126"/>
        <v>0</v>
      </c>
      <c r="D246" s="209">
        <f t="shared" si="126"/>
        <v>44663</v>
      </c>
      <c r="E246" s="209">
        <f t="shared" si="126"/>
        <v>0</v>
      </c>
      <c r="F246" s="13">
        <f t="shared" si="126"/>
        <v>0</v>
      </c>
      <c r="G246" s="13">
        <f t="shared" si="126"/>
        <v>0</v>
      </c>
      <c r="H246" s="13">
        <f t="shared" si="126"/>
        <v>0</v>
      </c>
      <c r="I246" s="13">
        <f t="shared" si="126"/>
        <v>0</v>
      </c>
      <c r="J246" s="13">
        <f t="shared" si="126"/>
        <v>0</v>
      </c>
      <c r="K246" s="13">
        <f t="shared" si="126"/>
        <v>0</v>
      </c>
      <c r="L246" s="60">
        <f t="shared" si="126"/>
        <v>44663</v>
      </c>
      <c r="M246" s="52">
        <f t="shared" si="126"/>
        <v>43680</v>
      </c>
      <c r="N246" s="138">
        <f>SUM(N242:N245)</f>
        <v>983</v>
      </c>
      <c r="O246" s="136">
        <f t="shared" si="125"/>
        <v>2.2504578754578754E-2</v>
      </c>
      <c r="P246" s="187">
        <f t="shared" si="126"/>
        <v>37260</v>
      </c>
      <c r="Q246" s="104"/>
    </row>
    <row r="247" spans="1:20" x14ac:dyDescent="0.25">
      <c r="A247" s="12"/>
      <c r="B247" s="31"/>
      <c r="C247" s="213"/>
      <c r="D247" s="213"/>
      <c r="E247" s="213"/>
      <c r="F247" s="31"/>
      <c r="G247" s="31"/>
      <c r="H247" s="31"/>
      <c r="I247" s="31"/>
      <c r="J247" s="31"/>
      <c r="K247" s="31"/>
      <c r="L247" s="56"/>
      <c r="M247" s="56"/>
      <c r="N247" s="139"/>
      <c r="P247" s="195"/>
      <c r="Q247" s="104"/>
    </row>
    <row r="248" spans="1:20" s="62" customFormat="1" x14ac:dyDescent="0.25">
      <c r="A248" s="156" t="s">
        <v>281</v>
      </c>
      <c r="B248" s="160"/>
      <c r="C248" s="160"/>
      <c r="D248" s="160">
        <f>28260-D249</f>
        <v>21195</v>
      </c>
      <c r="E248" s="160"/>
      <c r="F248" s="160"/>
      <c r="G248" s="160"/>
      <c r="H248" s="160"/>
      <c r="I248" s="160"/>
      <c r="J248" s="160"/>
      <c r="K248" s="160"/>
      <c r="L248" s="56">
        <f>SUM(B248:K248)</f>
        <v>21195</v>
      </c>
      <c r="M248" s="56">
        <v>19823</v>
      </c>
      <c r="N248" s="139">
        <f t="shared" ref="N248:N250" si="127">+L248-M248</f>
        <v>1372</v>
      </c>
      <c r="O248" s="134">
        <f t="shared" ref="O248:O251" si="128">IF(M248,+N248/M248,0)</f>
        <v>6.9212530898451294E-2</v>
      </c>
      <c r="P248" s="181">
        <v>25775</v>
      </c>
      <c r="Q248" s="158" t="s">
        <v>308</v>
      </c>
      <c r="R248" s="62">
        <f>19823*1.05</f>
        <v>20814.150000000001</v>
      </c>
      <c r="T248" s="74"/>
    </row>
    <row r="249" spans="1:20" s="62" customFormat="1" x14ac:dyDescent="0.25">
      <c r="A249" s="156" t="s">
        <v>282</v>
      </c>
      <c r="B249" s="160"/>
      <c r="C249" s="160"/>
      <c r="D249" s="160">
        <v>7065</v>
      </c>
      <c r="E249" s="160"/>
      <c r="F249" s="160"/>
      <c r="G249" s="160"/>
      <c r="H249" s="160"/>
      <c r="I249" s="160"/>
      <c r="J249" s="160"/>
      <c r="K249" s="160"/>
      <c r="L249" s="56">
        <f>SUM(B249:K249)</f>
        <v>7065</v>
      </c>
      <c r="M249" s="56">
        <v>6499</v>
      </c>
      <c r="N249" s="139">
        <f t="shared" si="127"/>
        <v>566</v>
      </c>
      <c r="O249" s="134">
        <f t="shared" si="128"/>
        <v>8.7090321587936601E-2</v>
      </c>
      <c r="P249" s="181">
        <v>0</v>
      </c>
      <c r="Q249" s="158" t="s">
        <v>308</v>
      </c>
      <c r="R249" s="62">
        <f>6499*1.05</f>
        <v>6823.9500000000007</v>
      </c>
      <c r="T249" s="74"/>
    </row>
    <row r="250" spans="1:20" s="62" customFormat="1" x14ac:dyDescent="0.25">
      <c r="A250" s="156" t="s">
        <v>283</v>
      </c>
      <c r="B250" s="160"/>
      <c r="C250" s="160"/>
      <c r="D250" s="160">
        <v>2162</v>
      </c>
      <c r="E250" s="160"/>
      <c r="F250" s="160"/>
      <c r="G250" s="160"/>
      <c r="H250" s="160"/>
      <c r="I250" s="160"/>
      <c r="J250" s="160"/>
      <c r="K250" s="160"/>
      <c r="L250" s="56">
        <f>SUM(B250:K250)</f>
        <v>2162</v>
      </c>
      <c r="M250" s="56">
        <v>2014</v>
      </c>
      <c r="N250" s="139">
        <f t="shared" si="127"/>
        <v>148</v>
      </c>
      <c r="O250" s="134">
        <f t="shared" si="128"/>
        <v>7.3485600794438929E-2</v>
      </c>
      <c r="P250" s="181">
        <v>1971</v>
      </c>
      <c r="Q250" s="104"/>
    </row>
    <row r="251" spans="1:20" x14ac:dyDescent="0.25">
      <c r="A251" s="15" t="s">
        <v>284</v>
      </c>
      <c r="B251" s="90">
        <f>SUM(B248:B250)</f>
        <v>0</v>
      </c>
      <c r="C251" s="90">
        <f t="shared" ref="C251:P251" si="129">SUM(C248:C250)</f>
        <v>0</v>
      </c>
      <c r="D251" s="90">
        <f t="shared" si="129"/>
        <v>30422</v>
      </c>
      <c r="E251" s="90">
        <f t="shared" si="129"/>
        <v>0</v>
      </c>
      <c r="F251" s="90">
        <f t="shared" si="129"/>
        <v>0</v>
      </c>
      <c r="G251" s="90">
        <f t="shared" si="129"/>
        <v>0</v>
      </c>
      <c r="H251" s="90">
        <f t="shared" si="129"/>
        <v>0</v>
      </c>
      <c r="I251" s="90">
        <f t="shared" si="129"/>
        <v>0</v>
      </c>
      <c r="J251" s="90">
        <f t="shared" si="129"/>
        <v>0</v>
      </c>
      <c r="K251" s="90">
        <f t="shared" si="129"/>
        <v>0</v>
      </c>
      <c r="L251" s="78">
        <f t="shared" si="129"/>
        <v>30422</v>
      </c>
      <c r="M251" s="78">
        <f t="shared" si="129"/>
        <v>28336</v>
      </c>
      <c r="N251" s="149">
        <f>SUM(N248:N250)</f>
        <v>2086</v>
      </c>
      <c r="O251" s="136">
        <f t="shared" si="128"/>
        <v>7.3616600790513839E-2</v>
      </c>
      <c r="P251" s="196">
        <f t="shared" si="129"/>
        <v>27746</v>
      </c>
    </row>
    <row r="252" spans="1:20" x14ac:dyDescent="0.25">
      <c r="A252" s="15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75"/>
      <c r="M252" s="75"/>
      <c r="N252" s="141"/>
      <c r="O252" s="142"/>
      <c r="P252" s="190"/>
    </row>
    <row r="253" spans="1:20" s="62" customFormat="1" x14ac:dyDescent="0.25">
      <c r="A253" s="156" t="s">
        <v>145</v>
      </c>
      <c r="B253" s="86">
        <f>+B235+B240+B246+B251</f>
        <v>0</v>
      </c>
      <c r="C253" s="86">
        <f t="shared" ref="C253:K253" si="130">+C235+C240+C246+C251</f>
        <v>0</v>
      </c>
      <c r="D253" s="86">
        <f>+D235+D240+D246+D251</f>
        <v>228100.23050000001</v>
      </c>
      <c r="E253" s="86">
        <f t="shared" si="130"/>
        <v>0</v>
      </c>
      <c r="F253" s="86">
        <f t="shared" si="130"/>
        <v>0</v>
      </c>
      <c r="G253" s="86">
        <f t="shared" si="130"/>
        <v>0</v>
      </c>
      <c r="H253" s="86">
        <f t="shared" si="130"/>
        <v>0</v>
      </c>
      <c r="I253" s="86">
        <f t="shared" si="130"/>
        <v>0</v>
      </c>
      <c r="J253" s="86">
        <f t="shared" si="130"/>
        <v>0</v>
      </c>
      <c r="K253" s="86">
        <f t="shared" si="130"/>
        <v>0</v>
      </c>
      <c r="L253" s="78">
        <f>+L235+L240+L246+L251</f>
        <v>228100.23050000001</v>
      </c>
      <c r="M253" s="79">
        <f>+M235+M240+M246+M251</f>
        <v>220388</v>
      </c>
      <c r="N253" s="94">
        <f>+N235+N240+N246+N251</f>
        <v>7712.2304999999997</v>
      </c>
      <c r="O253" s="136">
        <f t="shared" ref="O253" si="131">IF(M253,+N253/M253,0)</f>
        <v>3.4993876708350725E-2</v>
      </c>
      <c r="P253" s="183">
        <f>+P235+P240+P246+P251</f>
        <v>211864</v>
      </c>
    </row>
    <row r="254" spans="1:20" x14ac:dyDescent="0.25">
      <c r="A254" s="15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76"/>
      <c r="M254" s="76"/>
      <c r="N254" s="141"/>
      <c r="O254" s="142"/>
      <c r="P254" s="186"/>
    </row>
    <row r="255" spans="1:20" x14ac:dyDescent="0.25">
      <c r="A255" s="15" t="s">
        <v>146</v>
      </c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75"/>
      <c r="M255" s="93"/>
      <c r="N255" s="141"/>
      <c r="O255" s="142"/>
      <c r="P255" s="197"/>
    </row>
    <row r="256" spans="1:20" x14ac:dyDescent="0.25">
      <c r="A256" s="15" t="s">
        <v>147</v>
      </c>
      <c r="B256" s="77">
        <f t="shared" ref="B256:L256" si="132">SUM(B255:B255)</f>
        <v>0</v>
      </c>
      <c r="C256" s="77">
        <f t="shared" si="132"/>
        <v>0</v>
      </c>
      <c r="D256" s="77">
        <f t="shared" si="132"/>
        <v>0</v>
      </c>
      <c r="E256" s="77">
        <f t="shared" si="132"/>
        <v>0</v>
      </c>
      <c r="F256" s="77">
        <f t="shared" si="132"/>
        <v>0</v>
      </c>
      <c r="G256" s="77">
        <f t="shared" si="132"/>
        <v>0</v>
      </c>
      <c r="H256" s="77">
        <f t="shared" si="132"/>
        <v>0</v>
      </c>
      <c r="I256" s="77">
        <f t="shared" si="132"/>
        <v>0</v>
      </c>
      <c r="J256" s="77">
        <f t="shared" si="132"/>
        <v>0</v>
      </c>
      <c r="K256" s="77">
        <f t="shared" si="132"/>
        <v>0</v>
      </c>
      <c r="L256" s="78">
        <f t="shared" si="132"/>
        <v>0</v>
      </c>
      <c r="M256" s="79">
        <v>0</v>
      </c>
      <c r="N256" s="94">
        <f>SUM(N255:N255)</f>
        <v>0</v>
      </c>
      <c r="O256" s="136">
        <f t="shared" ref="O256" si="133">IF(M256,+N256/M256,0)</f>
        <v>0</v>
      </c>
      <c r="P256" s="183">
        <f>SUM(P255:P255)</f>
        <v>0</v>
      </c>
    </row>
    <row r="257" spans="1:17" x14ac:dyDescent="0.25">
      <c r="A257" s="15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75"/>
      <c r="M257" s="79"/>
      <c r="N257" s="141"/>
      <c r="O257" s="142"/>
      <c r="P257" s="183"/>
    </row>
    <row r="258" spans="1:17" x14ac:dyDescent="0.25">
      <c r="A258" s="15" t="s">
        <v>148</v>
      </c>
      <c r="B258" s="77">
        <f t="shared" ref="B258:M258" si="134">+B205+B223+B229+B253+B256</f>
        <v>114880</v>
      </c>
      <c r="C258" s="77">
        <f t="shared" si="134"/>
        <v>0</v>
      </c>
      <c r="D258" s="77">
        <f t="shared" si="134"/>
        <v>244100.23050000001</v>
      </c>
      <c r="E258" s="77">
        <f t="shared" si="134"/>
        <v>0</v>
      </c>
      <c r="F258" s="77">
        <f t="shared" si="134"/>
        <v>0</v>
      </c>
      <c r="G258" s="77">
        <f t="shared" si="134"/>
        <v>0</v>
      </c>
      <c r="H258" s="77">
        <f t="shared" si="134"/>
        <v>0</v>
      </c>
      <c r="I258" s="77">
        <f t="shared" si="134"/>
        <v>0</v>
      </c>
      <c r="J258" s="77">
        <f t="shared" si="134"/>
        <v>0</v>
      </c>
      <c r="K258" s="77">
        <f t="shared" si="134"/>
        <v>1220</v>
      </c>
      <c r="L258" s="78">
        <f t="shared" si="134"/>
        <v>360200.23050000001</v>
      </c>
      <c r="M258" s="79">
        <f t="shared" si="134"/>
        <v>354153</v>
      </c>
      <c r="N258" s="94">
        <f>+N205+N223+N229+N253+N256</f>
        <v>6047.2304999999997</v>
      </c>
      <c r="O258" s="136">
        <f t="shared" ref="O258" si="135">IF(M258,+N258/M258,0)</f>
        <v>1.7075192078000186E-2</v>
      </c>
      <c r="P258" s="183">
        <f>+P205+P223+P229+P253+P256</f>
        <v>340093</v>
      </c>
    </row>
    <row r="259" spans="1:17" x14ac:dyDescent="0.25">
      <c r="A259" s="15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76"/>
      <c r="M259" s="76"/>
      <c r="N259" s="141"/>
      <c r="O259" s="142"/>
      <c r="P259" s="186"/>
    </row>
    <row r="260" spans="1:17" x14ac:dyDescent="0.25">
      <c r="A260" s="15" t="s">
        <v>149</v>
      </c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76"/>
      <c r="M260" s="76"/>
      <c r="N260" s="141"/>
      <c r="O260" s="142"/>
      <c r="P260" s="186"/>
    </row>
    <row r="261" spans="1:17" x14ac:dyDescent="0.25">
      <c r="A261" s="15" t="s">
        <v>150</v>
      </c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76"/>
      <c r="M261" s="76"/>
      <c r="N261" s="141"/>
      <c r="O261" s="142"/>
      <c r="P261" s="186"/>
    </row>
    <row r="262" spans="1:17" x14ac:dyDescent="0.25">
      <c r="A262" s="15" t="s">
        <v>151</v>
      </c>
      <c r="B262" s="22">
        <v>2000</v>
      </c>
      <c r="C262" s="22"/>
      <c r="D262" s="22"/>
      <c r="E262" s="22"/>
      <c r="F262" s="22"/>
      <c r="G262" s="22"/>
      <c r="H262" s="22"/>
      <c r="I262" s="22"/>
      <c r="J262" s="22"/>
      <c r="K262" s="22"/>
      <c r="L262" s="51">
        <f>SUM(B262:K262)</f>
        <v>2000</v>
      </c>
      <c r="M262" s="51">
        <v>1500</v>
      </c>
      <c r="N262" s="139">
        <f t="shared" ref="N262:N265" si="136">+L262-M262</f>
        <v>500</v>
      </c>
      <c r="O262" s="134">
        <f t="shared" ref="O262:O266" si="137">IF(M262,+N262/M262,0)</f>
        <v>0.33333333333333331</v>
      </c>
      <c r="P262" s="186">
        <v>34301</v>
      </c>
      <c r="Q262" s="69" t="s">
        <v>248</v>
      </c>
    </row>
    <row r="263" spans="1:17" x14ac:dyDescent="0.25">
      <c r="A263" s="15" t="s">
        <v>152</v>
      </c>
      <c r="B263" s="22">
        <v>1500</v>
      </c>
      <c r="C263" s="22"/>
      <c r="D263" s="22"/>
      <c r="E263" s="22"/>
      <c r="F263" s="22"/>
      <c r="G263" s="22"/>
      <c r="H263" s="22"/>
      <c r="I263" s="22"/>
      <c r="J263" s="22"/>
      <c r="K263" s="22"/>
      <c r="L263" s="51">
        <f>SUM(B263:K263)</f>
        <v>1500</v>
      </c>
      <c r="M263" s="51">
        <v>2500</v>
      </c>
      <c r="N263" s="139">
        <f t="shared" si="136"/>
        <v>-1000</v>
      </c>
      <c r="O263" s="134">
        <f t="shared" si="137"/>
        <v>-0.4</v>
      </c>
      <c r="P263" s="186">
        <v>0</v>
      </c>
      <c r="Q263" s="69" t="s">
        <v>249</v>
      </c>
    </row>
    <row r="264" spans="1:17" x14ac:dyDescent="0.25">
      <c r="A264" s="15" t="s">
        <v>153</v>
      </c>
      <c r="B264" s="22">
        <v>3300</v>
      </c>
      <c r="C264" s="22"/>
      <c r="D264" s="22"/>
      <c r="E264" s="22"/>
      <c r="F264" s="22"/>
      <c r="G264" s="22"/>
      <c r="H264" s="22"/>
      <c r="I264" s="22"/>
      <c r="J264" s="22"/>
      <c r="K264" s="22"/>
      <c r="L264" s="51">
        <f>SUM(B264:K264)</f>
        <v>3300</v>
      </c>
      <c r="M264" s="51">
        <v>3500</v>
      </c>
      <c r="N264" s="139">
        <f t="shared" si="136"/>
        <v>-200</v>
      </c>
      <c r="O264" s="134">
        <f t="shared" si="137"/>
        <v>-5.7142857142857141E-2</v>
      </c>
      <c r="P264" s="186">
        <v>2565</v>
      </c>
      <c r="Q264" s="69" t="s">
        <v>250</v>
      </c>
    </row>
    <row r="265" spans="1:17" x14ac:dyDescent="0.25">
      <c r="A265" s="15" t="s">
        <v>154</v>
      </c>
      <c r="B265" s="91">
        <v>2000</v>
      </c>
      <c r="C265" s="91"/>
      <c r="D265" s="91"/>
      <c r="E265" s="91"/>
      <c r="F265" s="91"/>
      <c r="G265" s="91"/>
      <c r="H265" s="91"/>
      <c r="I265" s="91"/>
      <c r="J265" s="91"/>
      <c r="K265" s="91"/>
      <c r="L265" s="51">
        <f>SUM(B265:K265)</f>
        <v>2000</v>
      </c>
      <c r="M265" s="51">
        <v>2500</v>
      </c>
      <c r="N265" s="139">
        <f t="shared" si="136"/>
        <v>-500</v>
      </c>
      <c r="O265" s="134">
        <f t="shared" si="137"/>
        <v>-0.2</v>
      </c>
      <c r="P265" s="186">
        <v>0</v>
      </c>
      <c r="Q265" s="69" t="s">
        <v>251</v>
      </c>
    </row>
    <row r="266" spans="1:17" x14ac:dyDescent="0.25">
      <c r="A266" s="15" t="s">
        <v>155</v>
      </c>
      <c r="B266" s="77">
        <f t="shared" ref="B266:K266" si="138">SUM(B262:B265)</f>
        <v>8800</v>
      </c>
      <c r="C266" s="77">
        <f t="shared" si="138"/>
        <v>0</v>
      </c>
      <c r="D266" s="77">
        <f t="shared" si="138"/>
        <v>0</v>
      </c>
      <c r="E266" s="77">
        <f t="shared" si="138"/>
        <v>0</v>
      </c>
      <c r="F266" s="77">
        <f t="shared" si="138"/>
        <v>0</v>
      </c>
      <c r="G266" s="77">
        <f t="shared" si="138"/>
        <v>0</v>
      </c>
      <c r="H266" s="77">
        <f t="shared" si="138"/>
        <v>0</v>
      </c>
      <c r="I266" s="77">
        <f t="shared" si="138"/>
        <v>0</v>
      </c>
      <c r="J266" s="77">
        <f t="shared" si="138"/>
        <v>0</v>
      </c>
      <c r="K266" s="77">
        <f t="shared" si="138"/>
        <v>0</v>
      </c>
      <c r="L266" s="78">
        <f>SUM(L261:L265)</f>
        <v>8800</v>
      </c>
      <c r="M266" s="79">
        <f>SUM(M262:M265)</f>
        <v>10000</v>
      </c>
      <c r="N266" s="149">
        <f>SUM(N262:N265)</f>
        <v>-1200</v>
      </c>
      <c r="O266" s="136">
        <f t="shared" si="137"/>
        <v>-0.12</v>
      </c>
      <c r="P266" s="183">
        <f>SUM(P262:P265)</f>
        <v>36866</v>
      </c>
      <c r="Q266" s="70"/>
    </row>
    <row r="267" spans="1:17" x14ac:dyDescent="0.25">
      <c r="A267" s="15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76"/>
      <c r="M267" s="76"/>
      <c r="N267" s="141"/>
      <c r="O267" s="142"/>
      <c r="P267" s="186"/>
    </row>
    <row r="268" spans="1:17" x14ac:dyDescent="0.25">
      <c r="A268" s="15" t="s">
        <v>156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55"/>
      <c r="M268" s="55"/>
      <c r="N268" s="141"/>
      <c r="O268" s="142"/>
      <c r="P268" s="186"/>
    </row>
    <row r="269" spans="1:17" x14ac:dyDescent="0.25">
      <c r="A269" s="15" t="s">
        <v>157</v>
      </c>
      <c r="B269" s="22">
        <v>4000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51">
        <f>SUM(B269:K269)</f>
        <v>4000</v>
      </c>
      <c r="M269" s="51">
        <v>5000</v>
      </c>
      <c r="N269" s="139">
        <f t="shared" ref="N269:N270" si="139">+L269-M269</f>
        <v>-1000</v>
      </c>
      <c r="O269" s="134">
        <f t="shared" ref="O269:O271" si="140">IF(M269,+N269/M269,0)</f>
        <v>-0.2</v>
      </c>
      <c r="P269" s="186">
        <v>2678</v>
      </c>
    </row>
    <row r="270" spans="1:17" x14ac:dyDescent="0.25">
      <c r="A270" s="23" t="s">
        <v>158</v>
      </c>
      <c r="B270" s="89">
        <v>5000</v>
      </c>
      <c r="C270" s="89"/>
      <c r="D270" s="89"/>
      <c r="E270" s="89"/>
      <c r="F270" s="89"/>
      <c r="G270" s="89"/>
      <c r="H270" s="89"/>
      <c r="I270" s="89"/>
      <c r="J270" s="89"/>
      <c r="K270" s="89"/>
      <c r="L270" s="51">
        <f>SUM(B270:K270)</f>
        <v>5000</v>
      </c>
      <c r="M270" s="51">
        <v>5000</v>
      </c>
      <c r="N270" s="139">
        <f t="shared" si="139"/>
        <v>0</v>
      </c>
      <c r="O270" s="134">
        <f t="shared" si="140"/>
        <v>0</v>
      </c>
      <c r="P270" s="186">
        <v>5244</v>
      </c>
    </row>
    <row r="271" spans="1:17" x14ac:dyDescent="0.25">
      <c r="A271" s="15" t="s">
        <v>159</v>
      </c>
      <c r="B271" s="77">
        <f t="shared" ref="B271:M271" si="141">SUM(B269:B270)</f>
        <v>9000</v>
      </c>
      <c r="C271" s="77">
        <f t="shared" si="141"/>
        <v>0</v>
      </c>
      <c r="D271" s="77">
        <f t="shared" si="141"/>
        <v>0</v>
      </c>
      <c r="E271" s="77">
        <f t="shared" si="141"/>
        <v>0</v>
      </c>
      <c r="F271" s="77">
        <f t="shared" si="141"/>
        <v>0</v>
      </c>
      <c r="G271" s="77">
        <f t="shared" si="141"/>
        <v>0</v>
      </c>
      <c r="H271" s="77">
        <f t="shared" si="141"/>
        <v>0</v>
      </c>
      <c r="I271" s="77">
        <f t="shared" si="141"/>
        <v>0</v>
      </c>
      <c r="J271" s="77">
        <f t="shared" si="141"/>
        <v>0</v>
      </c>
      <c r="K271" s="77">
        <f t="shared" si="141"/>
        <v>0</v>
      </c>
      <c r="L271" s="78">
        <f t="shared" si="141"/>
        <v>9000</v>
      </c>
      <c r="M271" s="79">
        <f t="shared" si="141"/>
        <v>10000</v>
      </c>
      <c r="N271" s="94">
        <f t="shared" ref="N271" si="142">SUM(N269:N270)</f>
        <v>-1000</v>
      </c>
      <c r="O271" s="136">
        <f t="shared" si="140"/>
        <v>-0.1</v>
      </c>
      <c r="P271" s="183">
        <f>SUM(P269:P270)</f>
        <v>7922</v>
      </c>
    </row>
    <row r="272" spans="1:17" x14ac:dyDescent="0.25">
      <c r="A272" s="15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76"/>
      <c r="M272" s="76"/>
      <c r="N272" s="141"/>
      <c r="O272" s="142"/>
      <c r="P272" s="186"/>
    </row>
    <row r="273" spans="1:17" x14ac:dyDescent="0.25">
      <c r="A273" s="15" t="s">
        <v>193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76"/>
      <c r="M273" s="76"/>
      <c r="N273" s="141"/>
      <c r="O273" s="142"/>
      <c r="P273" s="186"/>
    </row>
    <row r="274" spans="1:17" x14ac:dyDescent="0.25">
      <c r="A274" s="15" t="s">
        <v>194</v>
      </c>
      <c r="B274" s="22"/>
      <c r="C274" s="22"/>
      <c r="D274" s="22">
        <v>10000</v>
      </c>
      <c r="E274" s="22"/>
      <c r="F274" s="22"/>
      <c r="G274" s="22"/>
      <c r="H274" s="22"/>
      <c r="I274" s="22"/>
      <c r="J274" s="22"/>
      <c r="K274" s="22"/>
      <c r="L274" s="76">
        <f>SUM(B274:K274)</f>
        <v>10000</v>
      </c>
      <c r="M274" s="76">
        <v>10000</v>
      </c>
      <c r="N274" s="139">
        <f t="shared" ref="N274" si="143">+L274-M274</f>
        <v>0</v>
      </c>
      <c r="O274" s="134">
        <f t="shared" ref="O274:O275" si="144">IF(M274,+N274/M274,0)</f>
        <v>0</v>
      </c>
      <c r="P274" s="186">
        <v>0</v>
      </c>
    </row>
    <row r="275" spans="1:17" x14ac:dyDescent="0.25">
      <c r="A275" s="15" t="s">
        <v>195</v>
      </c>
      <c r="B275" s="77">
        <f>SUM(B274)</f>
        <v>0</v>
      </c>
      <c r="C275" s="77">
        <f t="shared" ref="C275:K275" si="145">SUM(C274)</f>
        <v>0</v>
      </c>
      <c r="D275" s="77">
        <f t="shared" si="145"/>
        <v>10000</v>
      </c>
      <c r="E275" s="77">
        <f t="shared" si="145"/>
        <v>0</v>
      </c>
      <c r="F275" s="77">
        <f t="shared" si="145"/>
        <v>0</v>
      </c>
      <c r="G275" s="77">
        <f t="shared" si="145"/>
        <v>0</v>
      </c>
      <c r="H275" s="77">
        <f t="shared" si="145"/>
        <v>0</v>
      </c>
      <c r="I275" s="77">
        <f t="shared" si="145"/>
        <v>0</v>
      </c>
      <c r="J275" s="77">
        <f t="shared" si="145"/>
        <v>0</v>
      </c>
      <c r="K275" s="77">
        <f t="shared" si="145"/>
        <v>0</v>
      </c>
      <c r="L275" s="78">
        <f>SUM(B275:K275)</f>
        <v>10000</v>
      </c>
      <c r="M275" s="79">
        <f t="shared" ref="M275:P275" si="146">SUM(M274)</f>
        <v>10000</v>
      </c>
      <c r="N275" s="94">
        <f t="shared" ref="N275" si="147">SUM(N274)</f>
        <v>0</v>
      </c>
      <c r="O275" s="136">
        <f t="shared" si="144"/>
        <v>0</v>
      </c>
      <c r="P275" s="183">
        <f t="shared" si="146"/>
        <v>0</v>
      </c>
    </row>
    <row r="276" spans="1:17" x14ac:dyDescent="0.25">
      <c r="A276" s="15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76"/>
      <c r="M276" s="76"/>
      <c r="N276" s="141"/>
      <c r="O276" s="142"/>
      <c r="P276" s="186"/>
    </row>
    <row r="277" spans="1:17" x14ac:dyDescent="0.25">
      <c r="A277" s="15" t="s">
        <v>39</v>
      </c>
      <c r="B277" s="215"/>
      <c r="C277" s="89"/>
      <c r="D277" s="89"/>
      <c r="E277" s="89"/>
      <c r="F277" s="89"/>
      <c r="G277" s="89"/>
      <c r="H277" s="89"/>
      <c r="I277" s="89"/>
      <c r="J277" s="89"/>
      <c r="K277" s="89"/>
      <c r="L277" s="76"/>
      <c r="M277" s="76"/>
      <c r="N277" s="141"/>
      <c r="O277" s="142"/>
      <c r="P277" s="186"/>
      <c r="Q277" s="104"/>
    </row>
    <row r="278" spans="1:17" s="62" customFormat="1" x14ac:dyDescent="0.25">
      <c r="A278" s="156" t="s">
        <v>160</v>
      </c>
      <c r="B278" s="157">
        <f>103273*60%</f>
        <v>61963.799999999996</v>
      </c>
      <c r="C278" s="157"/>
      <c r="D278" s="157"/>
      <c r="E278" s="157"/>
      <c r="F278" s="157"/>
      <c r="G278" s="157"/>
      <c r="H278" s="157"/>
      <c r="I278" s="157"/>
      <c r="J278" s="157"/>
      <c r="K278" s="157"/>
      <c r="L278" s="51">
        <f t="shared" ref="L278:L283" si="148">SUM(B278:K278)</f>
        <v>61963.799999999996</v>
      </c>
      <c r="M278" s="51">
        <v>60600</v>
      </c>
      <c r="N278" s="139">
        <f t="shared" ref="N278:N283" si="149">+L278-M278</f>
        <v>1363.7999999999956</v>
      </c>
      <c r="O278" s="134">
        <f t="shared" ref="O278:O284" si="150">IF(M278,+N278/M278,0)</f>
        <v>2.2504950495049431E-2</v>
      </c>
      <c r="P278" s="186">
        <v>60000</v>
      </c>
      <c r="Q278" s="104" t="s">
        <v>302</v>
      </c>
    </row>
    <row r="279" spans="1:17" s="62" customFormat="1" x14ac:dyDescent="0.25">
      <c r="A279" s="156" t="s">
        <v>161</v>
      </c>
      <c r="B279" s="157">
        <f>103273-B278</f>
        <v>41309.200000000004</v>
      </c>
      <c r="C279" s="157"/>
      <c r="D279" s="157"/>
      <c r="E279" s="157"/>
      <c r="F279" s="157"/>
      <c r="G279" s="157"/>
      <c r="H279" s="157"/>
      <c r="I279" s="157"/>
      <c r="J279" s="157"/>
      <c r="K279" s="157"/>
      <c r="L279" s="51">
        <f t="shared" si="148"/>
        <v>41309.200000000004</v>
      </c>
      <c r="M279" s="51">
        <v>40400</v>
      </c>
      <c r="N279" s="139">
        <f t="shared" si="149"/>
        <v>909.20000000000437</v>
      </c>
      <c r="O279" s="134">
        <f t="shared" si="150"/>
        <v>2.2504950495049612E-2</v>
      </c>
      <c r="P279" s="186">
        <v>40000</v>
      </c>
      <c r="Q279" s="104" t="s">
        <v>302</v>
      </c>
    </row>
    <row r="280" spans="1:17" s="62" customFormat="1" x14ac:dyDescent="0.25">
      <c r="A280" s="156" t="s">
        <v>162</v>
      </c>
      <c r="B280" s="157">
        <f>11360+1033+13898</f>
        <v>26291</v>
      </c>
      <c r="C280" s="157"/>
      <c r="D280" s="157"/>
      <c r="E280" s="157"/>
      <c r="F280" s="157"/>
      <c r="G280" s="157"/>
      <c r="H280" s="157"/>
      <c r="I280" s="157"/>
      <c r="J280" s="157"/>
      <c r="K280" s="157"/>
      <c r="L280" s="51">
        <f t="shared" si="148"/>
        <v>26291</v>
      </c>
      <c r="M280" s="51">
        <v>29400</v>
      </c>
      <c r="N280" s="139">
        <f t="shared" si="149"/>
        <v>-3109</v>
      </c>
      <c r="O280" s="134">
        <f t="shared" si="150"/>
        <v>-0.10574829931972789</v>
      </c>
      <c r="P280" s="186">
        <v>26755</v>
      </c>
      <c r="Q280" s="104" t="s">
        <v>285</v>
      </c>
    </row>
    <row r="281" spans="1:17" s="62" customFormat="1" x14ac:dyDescent="0.25">
      <c r="A281" s="156" t="s">
        <v>163</v>
      </c>
      <c r="B281" s="157">
        <v>7900</v>
      </c>
      <c r="C281" s="157"/>
      <c r="D281" s="157"/>
      <c r="E281" s="157"/>
      <c r="F281" s="157"/>
      <c r="G281" s="157"/>
      <c r="H281" s="157"/>
      <c r="I281" s="157"/>
      <c r="J281" s="157"/>
      <c r="K281" s="157"/>
      <c r="L281" s="51">
        <f t="shared" si="148"/>
        <v>7900</v>
      </c>
      <c r="M281" s="51">
        <v>7727</v>
      </c>
      <c r="N281" s="139">
        <f t="shared" si="149"/>
        <v>173</v>
      </c>
      <c r="O281" s="134">
        <f t="shared" si="150"/>
        <v>2.2389025495017471E-2</v>
      </c>
      <c r="P281" s="186">
        <v>7650</v>
      </c>
      <c r="Q281" s="104"/>
    </row>
    <row r="282" spans="1:17" x14ac:dyDescent="0.25">
      <c r="A282" s="15" t="s">
        <v>164</v>
      </c>
      <c r="B282" s="157">
        <v>2000</v>
      </c>
      <c r="C282" s="22"/>
      <c r="D282" s="22"/>
      <c r="E282" s="22"/>
      <c r="F282" s="22"/>
      <c r="G282" s="22"/>
      <c r="H282" s="22"/>
      <c r="I282" s="22"/>
      <c r="J282" s="22"/>
      <c r="K282" s="22"/>
      <c r="L282" s="51">
        <f t="shared" si="148"/>
        <v>2000</v>
      </c>
      <c r="M282" s="51">
        <v>2000</v>
      </c>
      <c r="N282" s="139">
        <f t="shared" si="149"/>
        <v>0</v>
      </c>
      <c r="O282" s="134">
        <f t="shared" si="150"/>
        <v>0</v>
      </c>
      <c r="P282" s="186">
        <v>2000</v>
      </c>
      <c r="Q282" s="104"/>
    </row>
    <row r="283" spans="1:17" x14ac:dyDescent="0.25">
      <c r="A283" s="15" t="s">
        <v>165</v>
      </c>
      <c r="B283" s="214">
        <v>17500</v>
      </c>
      <c r="C283" s="91"/>
      <c r="D283" s="91"/>
      <c r="E283" s="91"/>
      <c r="F283" s="91"/>
      <c r="G283" s="91"/>
      <c r="H283" s="91"/>
      <c r="I283" s="91"/>
      <c r="J283" s="91"/>
      <c r="K283" s="91"/>
      <c r="L283" s="51">
        <f t="shared" si="148"/>
        <v>17500</v>
      </c>
      <c r="M283" s="51">
        <v>17500</v>
      </c>
      <c r="N283" s="139">
        <f t="shared" si="149"/>
        <v>0</v>
      </c>
      <c r="O283" s="134">
        <f t="shared" si="150"/>
        <v>0</v>
      </c>
      <c r="P283" s="186">
        <f>2765+6207</f>
        <v>8972</v>
      </c>
      <c r="Q283" s="104"/>
    </row>
    <row r="284" spans="1:17" x14ac:dyDescent="0.25">
      <c r="A284" s="15" t="s">
        <v>166</v>
      </c>
      <c r="B284" s="77">
        <f t="shared" ref="B284:P284" si="151">SUM(B278:B283)</f>
        <v>156964</v>
      </c>
      <c r="C284" s="77">
        <f t="shared" si="151"/>
        <v>0</v>
      </c>
      <c r="D284" s="77">
        <f t="shared" si="151"/>
        <v>0</v>
      </c>
      <c r="E284" s="77">
        <f t="shared" si="151"/>
        <v>0</v>
      </c>
      <c r="F284" s="77">
        <f t="shared" si="151"/>
        <v>0</v>
      </c>
      <c r="G284" s="77">
        <f t="shared" si="151"/>
        <v>0</v>
      </c>
      <c r="H284" s="77">
        <f t="shared" si="151"/>
        <v>0</v>
      </c>
      <c r="I284" s="77">
        <f t="shared" si="151"/>
        <v>0</v>
      </c>
      <c r="J284" s="77">
        <f t="shared" si="151"/>
        <v>0</v>
      </c>
      <c r="K284" s="77">
        <f t="shared" si="151"/>
        <v>0</v>
      </c>
      <c r="L284" s="78">
        <f t="shared" si="151"/>
        <v>156964</v>
      </c>
      <c r="M284" s="79">
        <f t="shared" si="151"/>
        <v>157627</v>
      </c>
      <c r="N284" s="149">
        <f>SUM(N278:N283)</f>
        <v>-663</v>
      </c>
      <c r="O284" s="136">
        <f t="shared" si="150"/>
        <v>-4.2061321981640204E-3</v>
      </c>
      <c r="P284" s="183">
        <f t="shared" si="151"/>
        <v>145377</v>
      </c>
      <c r="Q284" s="104"/>
    </row>
    <row r="285" spans="1:17" x14ac:dyDescent="0.25">
      <c r="A285" s="15"/>
      <c r="B285" s="215"/>
      <c r="C285" s="89"/>
      <c r="D285" s="89"/>
      <c r="E285" s="89"/>
      <c r="F285" s="89"/>
      <c r="G285" s="89"/>
      <c r="H285" s="89"/>
      <c r="I285" s="89"/>
      <c r="J285" s="89"/>
      <c r="K285" s="89"/>
      <c r="L285" s="76"/>
      <c r="M285" s="76"/>
      <c r="N285" s="141"/>
      <c r="O285" s="142"/>
      <c r="P285" s="186"/>
      <c r="Q285" s="104"/>
    </row>
    <row r="286" spans="1:17" s="62" customFormat="1" x14ac:dyDescent="0.25">
      <c r="A286" s="156" t="s">
        <v>167</v>
      </c>
      <c r="B286" s="157">
        <v>17828</v>
      </c>
      <c r="C286" s="157"/>
      <c r="D286" s="157"/>
      <c r="E286" s="157"/>
      <c r="F286" s="157"/>
      <c r="G286" s="157"/>
      <c r="H286" s="157"/>
      <c r="I286" s="157"/>
      <c r="J286" s="157"/>
      <c r="K286" s="157"/>
      <c r="L286" s="76">
        <f>SUM(B286:K286)</f>
        <v>17828</v>
      </c>
      <c r="M286" s="76">
        <v>13158</v>
      </c>
      <c r="N286" s="139">
        <f t="shared" ref="N286:N288" si="152">+L286-M286</f>
        <v>4670</v>
      </c>
      <c r="O286" s="134">
        <f t="shared" ref="O286:O289" si="153">IF(M286,+N286/M286,0)</f>
        <v>0.35491716066271473</v>
      </c>
      <c r="P286" s="186">
        <v>21963</v>
      </c>
      <c r="Q286" s="158" t="s">
        <v>314</v>
      </c>
    </row>
    <row r="287" spans="1:17" s="62" customFormat="1" x14ac:dyDescent="0.25">
      <c r="A287" s="156" t="s">
        <v>168</v>
      </c>
      <c r="B287" s="157">
        <f>+B286*7.65%</f>
        <v>1363.8419999999999</v>
      </c>
      <c r="C287" s="157"/>
      <c r="D287" s="157"/>
      <c r="E287" s="157"/>
      <c r="F287" s="157"/>
      <c r="G287" s="157"/>
      <c r="H287" s="157"/>
      <c r="I287" s="157"/>
      <c r="J287" s="157"/>
      <c r="K287" s="157"/>
      <c r="L287" s="76">
        <f>SUM(B287:K287)</f>
        <v>1363.8419999999999</v>
      </c>
      <c r="M287" s="76">
        <v>1007</v>
      </c>
      <c r="N287" s="139">
        <f t="shared" si="152"/>
        <v>356.84199999999987</v>
      </c>
      <c r="O287" s="134">
        <f t="shared" si="153"/>
        <v>0.35436146971201576</v>
      </c>
      <c r="P287" s="186">
        <v>1680</v>
      </c>
      <c r="Q287" s="104"/>
    </row>
    <row r="288" spans="1:17" x14ac:dyDescent="0.25">
      <c r="A288" s="15" t="s">
        <v>169</v>
      </c>
      <c r="B288" s="214">
        <v>2800</v>
      </c>
      <c r="C288" s="91"/>
      <c r="D288" s="91"/>
      <c r="E288" s="91"/>
      <c r="F288" s="91"/>
      <c r="G288" s="91"/>
      <c r="H288" s="91"/>
      <c r="I288" s="91"/>
      <c r="J288" s="91"/>
      <c r="K288" s="91"/>
      <c r="L288" s="76">
        <f>SUM(B288:K288)</f>
        <v>2800</v>
      </c>
      <c r="M288" s="92">
        <v>2800</v>
      </c>
      <c r="N288" s="139">
        <f t="shared" si="152"/>
        <v>0</v>
      </c>
      <c r="O288" s="134">
        <f t="shared" si="153"/>
        <v>0</v>
      </c>
      <c r="P288" s="198">
        <v>929</v>
      </c>
      <c r="Q288" s="104"/>
    </row>
    <row r="289" spans="1:17" x14ac:dyDescent="0.25">
      <c r="A289" s="15" t="s">
        <v>170</v>
      </c>
      <c r="B289" s="77">
        <f t="shared" ref="B289:P289" si="154">SUM(B286:B288)</f>
        <v>21991.842000000001</v>
      </c>
      <c r="C289" s="77">
        <f t="shared" si="154"/>
        <v>0</v>
      </c>
      <c r="D289" s="77">
        <f t="shared" si="154"/>
        <v>0</v>
      </c>
      <c r="E289" s="77">
        <f t="shared" si="154"/>
        <v>0</v>
      </c>
      <c r="F289" s="77">
        <f t="shared" si="154"/>
        <v>0</v>
      </c>
      <c r="G289" s="77">
        <f t="shared" si="154"/>
        <v>0</v>
      </c>
      <c r="H289" s="77">
        <f t="shared" si="154"/>
        <v>0</v>
      </c>
      <c r="I289" s="77">
        <f t="shared" si="154"/>
        <v>0</v>
      </c>
      <c r="J289" s="77">
        <f t="shared" si="154"/>
        <v>0</v>
      </c>
      <c r="K289" s="77">
        <f t="shared" si="154"/>
        <v>0</v>
      </c>
      <c r="L289" s="78">
        <f t="shared" si="154"/>
        <v>21991.842000000001</v>
      </c>
      <c r="M289" s="79">
        <f t="shared" si="154"/>
        <v>16965</v>
      </c>
      <c r="N289" s="149">
        <f>SUM(N286:N288)</f>
        <v>5026.8419999999996</v>
      </c>
      <c r="O289" s="136">
        <f t="shared" si="153"/>
        <v>0.29630663129973472</v>
      </c>
      <c r="P289" s="183">
        <f t="shared" si="154"/>
        <v>24572</v>
      </c>
    </row>
    <row r="290" spans="1:17" x14ac:dyDescent="0.25">
      <c r="A290" s="15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75"/>
      <c r="M290" s="75"/>
      <c r="N290" s="141"/>
      <c r="O290" s="142"/>
      <c r="P290" s="190"/>
    </row>
    <row r="291" spans="1:17" x14ac:dyDescent="0.25">
      <c r="A291" s="15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75"/>
      <c r="M291" s="75"/>
      <c r="N291" s="141"/>
      <c r="O291" s="142"/>
      <c r="P291" s="190"/>
    </row>
    <row r="292" spans="1:17" x14ac:dyDescent="0.25">
      <c r="A292" s="15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75"/>
      <c r="M292" s="75"/>
      <c r="N292" s="141"/>
      <c r="O292" s="142"/>
      <c r="P292" s="190"/>
    </row>
    <row r="293" spans="1:17" x14ac:dyDescent="0.25">
      <c r="A293" s="15"/>
      <c r="B293" s="215"/>
      <c r="C293" s="89"/>
      <c r="D293" s="89"/>
      <c r="E293" s="89"/>
      <c r="F293" s="89"/>
      <c r="G293" s="89"/>
      <c r="H293" s="89"/>
      <c r="I293" s="89"/>
      <c r="J293" s="89"/>
      <c r="K293" s="89"/>
      <c r="L293" s="76"/>
      <c r="M293" s="76"/>
      <c r="N293" s="141"/>
      <c r="O293" s="142"/>
      <c r="P293" s="186"/>
    </row>
    <row r="294" spans="1:17" s="62" customFormat="1" x14ac:dyDescent="0.25">
      <c r="A294" s="156" t="s">
        <v>219</v>
      </c>
      <c r="B294" s="157">
        <v>16457</v>
      </c>
      <c r="C294" s="157"/>
      <c r="D294" s="157"/>
      <c r="E294" s="157"/>
      <c r="F294" s="157"/>
      <c r="G294" s="157"/>
      <c r="H294" s="157"/>
      <c r="I294" s="157"/>
      <c r="J294" s="157"/>
      <c r="K294" s="157"/>
      <c r="L294" s="51">
        <f>SUM(B294:K294)</f>
        <v>16457</v>
      </c>
      <c r="M294" s="51">
        <v>11842</v>
      </c>
      <c r="N294" s="139">
        <f t="shared" ref="N294:N298" si="155">+L294-M294</f>
        <v>4615</v>
      </c>
      <c r="O294" s="134">
        <f t="shared" ref="O294:O299" si="156">IF(M294,+N294/M294,0)</f>
        <v>0.38971457524066883</v>
      </c>
      <c r="P294" s="186">
        <v>3521</v>
      </c>
      <c r="Q294" s="158" t="s">
        <v>315</v>
      </c>
    </row>
    <row r="295" spans="1:17" s="62" customFormat="1" x14ac:dyDescent="0.25">
      <c r="A295" s="156" t="s">
        <v>223</v>
      </c>
      <c r="B295" s="157">
        <f>+B294*7.65%</f>
        <v>1258.9604999999999</v>
      </c>
      <c r="C295" s="157"/>
      <c r="D295" s="157"/>
      <c r="E295" s="157"/>
      <c r="F295" s="157"/>
      <c r="G295" s="157"/>
      <c r="H295" s="157"/>
      <c r="I295" s="157"/>
      <c r="J295" s="157"/>
      <c r="K295" s="157"/>
      <c r="L295" s="51">
        <f>SUM(B295:K295)</f>
        <v>1258.9604999999999</v>
      </c>
      <c r="M295" s="51">
        <v>0</v>
      </c>
      <c r="N295" s="139">
        <f t="shared" si="155"/>
        <v>1258.9604999999999</v>
      </c>
      <c r="O295" s="134">
        <v>1</v>
      </c>
      <c r="P295" s="186">
        <v>269</v>
      </c>
    </row>
    <row r="296" spans="1:17" x14ac:dyDescent="0.25">
      <c r="A296" s="15" t="s">
        <v>220</v>
      </c>
      <c r="B296" s="157">
        <v>720</v>
      </c>
      <c r="C296" s="22"/>
      <c r="D296" s="22"/>
      <c r="E296" s="22"/>
      <c r="F296" s="22"/>
      <c r="G296" s="22"/>
      <c r="H296" s="22"/>
      <c r="I296" s="22"/>
      <c r="J296" s="22"/>
      <c r="K296" s="22"/>
      <c r="L296" s="51">
        <f>SUM(B296:K296)</f>
        <v>720</v>
      </c>
      <c r="M296" s="51">
        <v>720</v>
      </c>
      <c r="N296" s="139">
        <f t="shared" si="155"/>
        <v>0</v>
      </c>
      <c r="O296" s="134">
        <f t="shared" si="156"/>
        <v>0</v>
      </c>
      <c r="P296" s="186">
        <v>769</v>
      </c>
    </row>
    <row r="297" spans="1:17" x14ac:dyDescent="0.25">
      <c r="A297" s="15" t="s">
        <v>224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51"/>
      <c r="M297" s="51"/>
      <c r="N297" s="139">
        <f t="shared" si="155"/>
        <v>0</v>
      </c>
      <c r="O297" s="134">
        <f t="shared" si="156"/>
        <v>0</v>
      </c>
      <c r="P297" s="186">
        <v>760</v>
      </c>
    </row>
    <row r="298" spans="1:17" x14ac:dyDescent="0.25">
      <c r="A298" s="15" t="s">
        <v>225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51">
        <f>SUM(B298:K298)</f>
        <v>0</v>
      </c>
      <c r="M298" s="51"/>
      <c r="N298" s="139">
        <f t="shared" si="155"/>
        <v>0</v>
      </c>
      <c r="O298" s="134">
        <f t="shared" si="156"/>
        <v>0</v>
      </c>
      <c r="P298" s="186">
        <v>328</v>
      </c>
    </row>
    <row r="299" spans="1:17" x14ac:dyDescent="0.25">
      <c r="A299" s="66" t="s">
        <v>226</v>
      </c>
      <c r="B299" s="77">
        <f t="shared" ref="B299:P299" si="157">SUM(B294:B298)</f>
        <v>18435.960500000001</v>
      </c>
      <c r="C299" s="77">
        <f t="shared" si="157"/>
        <v>0</v>
      </c>
      <c r="D299" s="77">
        <f t="shared" si="157"/>
        <v>0</v>
      </c>
      <c r="E299" s="77">
        <f t="shared" si="157"/>
        <v>0</v>
      </c>
      <c r="F299" s="77">
        <f t="shared" si="157"/>
        <v>0</v>
      </c>
      <c r="G299" s="77">
        <f t="shared" si="157"/>
        <v>0</v>
      </c>
      <c r="H299" s="77">
        <f>SUM(H294:H298)</f>
        <v>0</v>
      </c>
      <c r="I299" s="77">
        <f>SUM(I294:I298)</f>
        <v>0</v>
      </c>
      <c r="J299" s="77">
        <f t="shared" si="157"/>
        <v>0</v>
      </c>
      <c r="K299" s="77">
        <f t="shared" si="157"/>
        <v>0</v>
      </c>
      <c r="L299" s="78">
        <f t="shared" si="157"/>
        <v>18435.960500000001</v>
      </c>
      <c r="M299" s="79">
        <f t="shared" si="157"/>
        <v>12562</v>
      </c>
      <c r="N299" s="149">
        <f>SUM(N294:N298)</f>
        <v>5873.9605000000001</v>
      </c>
      <c r="O299" s="136">
        <f t="shared" si="156"/>
        <v>0.46759755612163667</v>
      </c>
      <c r="P299" s="183">
        <f t="shared" si="157"/>
        <v>5647</v>
      </c>
    </row>
    <row r="300" spans="1:17" x14ac:dyDescent="0.25">
      <c r="A300" s="9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75"/>
      <c r="M300" s="75"/>
      <c r="N300" s="141"/>
      <c r="P300" s="190"/>
    </row>
    <row r="301" spans="1:17" s="62" customFormat="1" x14ac:dyDescent="0.25">
      <c r="A301" s="155" t="s">
        <v>45</v>
      </c>
      <c r="B301" s="86">
        <f t="shared" ref="B301:P301" si="158">+B284+B289+B299</f>
        <v>197391.80249999999</v>
      </c>
      <c r="C301" s="86">
        <f t="shared" si="158"/>
        <v>0</v>
      </c>
      <c r="D301" s="86">
        <f t="shared" si="158"/>
        <v>0</v>
      </c>
      <c r="E301" s="86">
        <f t="shared" si="158"/>
        <v>0</v>
      </c>
      <c r="F301" s="86">
        <f t="shared" si="158"/>
        <v>0</v>
      </c>
      <c r="G301" s="86">
        <f t="shared" si="158"/>
        <v>0</v>
      </c>
      <c r="H301" s="86">
        <f>+H284+H289+H299</f>
        <v>0</v>
      </c>
      <c r="I301" s="86">
        <f>+I284+I289+I299</f>
        <v>0</v>
      </c>
      <c r="J301" s="86">
        <f t="shared" si="158"/>
        <v>0</v>
      </c>
      <c r="K301" s="86">
        <f t="shared" si="158"/>
        <v>0</v>
      </c>
      <c r="L301" s="78">
        <f t="shared" si="158"/>
        <v>197391.80249999999</v>
      </c>
      <c r="M301" s="79">
        <f t="shared" si="158"/>
        <v>187154</v>
      </c>
      <c r="N301" s="78">
        <f t="shared" si="158"/>
        <v>10237.8025</v>
      </c>
      <c r="O301" s="134">
        <f t="shared" ref="O301" si="159">IF(M301,+N301/M301,0)</f>
        <v>5.4702557786635603E-2</v>
      </c>
      <c r="P301" s="183">
        <f t="shared" si="158"/>
        <v>175596</v>
      </c>
    </row>
    <row r="302" spans="1:17" x14ac:dyDescent="0.25">
      <c r="A302" s="7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75"/>
      <c r="M302" s="75"/>
      <c r="N302" s="141"/>
      <c r="P302" s="190"/>
    </row>
    <row r="303" spans="1:17" x14ac:dyDescent="0.25">
      <c r="A303" s="12" t="s">
        <v>171</v>
      </c>
      <c r="B303" s="77">
        <f t="shared" ref="B303:N303" si="160">+B266+B271+B275+B301</f>
        <v>215191.80249999999</v>
      </c>
      <c r="C303" s="77">
        <f t="shared" si="160"/>
        <v>0</v>
      </c>
      <c r="D303" s="77">
        <f t="shared" si="160"/>
        <v>10000</v>
      </c>
      <c r="E303" s="77">
        <f t="shared" si="160"/>
        <v>0</v>
      </c>
      <c r="F303" s="77">
        <f t="shared" si="160"/>
        <v>0</v>
      </c>
      <c r="G303" s="77">
        <f t="shared" si="160"/>
        <v>0</v>
      </c>
      <c r="H303" s="77">
        <f t="shared" si="160"/>
        <v>0</v>
      </c>
      <c r="I303" s="77">
        <f t="shared" si="160"/>
        <v>0</v>
      </c>
      <c r="J303" s="77">
        <f t="shared" si="160"/>
        <v>0</v>
      </c>
      <c r="K303" s="77">
        <f t="shared" si="160"/>
        <v>0</v>
      </c>
      <c r="L303" s="78">
        <f t="shared" si="160"/>
        <v>225191.80249999999</v>
      </c>
      <c r="M303" s="79">
        <f t="shared" si="160"/>
        <v>217154</v>
      </c>
      <c r="N303" s="78">
        <f t="shared" si="160"/>
        <v>8037.8024999999998</v>
      </c>
      <c r="O303" s="134">
        <f t="shared" ref="O303" si="161">IF(M303,+N303/M303,0)</f>
        <v>3.7014296305847461E-2</v>
      </c>
      <c r="P303" s="183">
        <f>+P266+P271+P275+P301</f>
        <v>220384</v>
      </c>
    </row>
    <row r="304" spans="1:17" x14ac:dyDescent="0.25">
      <c r="A304" s="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76"/>
      <c r="M304" s="76"/>
      <c r="N304" s="141"/>
      <c r="P304" s="186"/>
    </row>
    <row r="305" spans="1:17" s="62" customFormat="1" ht="15.75" customHeight="1" x14ac:dyDescent="0.25">
      <c r="A305" s="153" t="s">
        <v>172</v>
      </c>
      <c r="B305" s="154">
        <f t="shared" ref="B305:N305" si="162">+B78+B98+B148+B196+B202+B258+B303</f>
        <v>482436.80249999999</v>
      </c>
      <c r="C305" s="154">
        <f t="shared" si="162"/>
        <v>199049.32750000001</v>
      </c>
      <c r="D305" s="154">
        <f t="shared" si="162"/>
        <v>454206.89749999996</v>
      </c>
      <c r="E305" s="154">
        <f t="shared" si="162"/>
        <v>12224</v>
      </c>
      <c r="F305" s="154">
        <f t="shared" si="162"/>
        <v>54201</v>
      </c>
      <c r="G305" s="154">
        <f t="shared" si="162"/>
        <v>3458</v>
      </c>
      <c r="H305" s="154">
        <f t="shared" si="162"/>
        <v>5055</v>
      </c>
      <c r="I305" s="154">
        <f t="shared" si="162"/>
        <v>60000</v>
      </c>
      <c r="J305" s="154">
        <f t="shared" si="162"/>
        <v>69999.722500000003</v>
      </c>
      <c r="K305" s="154">
        <f t="shared" si="162"/>
        <v>15022</v>
      </c>
      <c r="L305" s="85">
        <f t="shared" si="162"/>
        <v>1355652.75</v>
      </c>
      <c r="M305" s="85">
        <f t="shared" si="162"/>
        <v>1376784</v>
      </c>
      <c r="N305" s="85">
        <f t="shared" si="162"/>
        <v>-21131.25</v>
      </c>
      <c r="O305" s="134">
        <f t="shared" ref="O305" si="163">IF(M305,+N305/M305,0)</f>
        <v>-1.5348268137921417E-2</v>
      </c>
      <c r="P305" s="184">
        <f>+P78+P98+P148+P196+P202+P258+P303</f>
        <v>1224718.96</v>
      </c>
    </row>
    <row r="306" spans="1:17" ht="15.75" customHeight="1" x14ac:dyDescent="0.25">
      <c r="A306" s="5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76"/>
      <c r="M306" s="76"/>
      <c r="N306" s="141"/>
      <c r="P306" s="186"/>
    </row>
    <row r="307" spans="1:17" x14ac:dyDescent="0.25">
      <c r="A307" s="9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75"/>
      <c r="M307" s="75"/>
      <c r="N307" s="141"/>
      <c r="P307" s="199"/>
    </row>
    <row r="308" spans="1:17" ht="18.75" customHeight="1" x14ac:dyDescent="0.3">
      <c r="A308" s="35" t="s">
        <v>31</v>
      </c>
      <c r="B308" s="22">
        <f t="shared" ref="B308:N308" si="164">+B48</f>
        <v>481891</v>
      </c>
      <c r="C308" s="22">
        <f t="shared" si="164"/>
        <v>200000</v>
      </c>
      <c r="D308" s="22">
        <f t="shared" si="164"/>
        <v>454207</v>
      </c>
      <c r="E308" s="22">
        <f t="shared" si="164"/>
        <v>12224</v>
      </c>
      <c r="F308" s="22">
        <f t="shared" si="164"/>
        <v>54201</v>
      </c>
      <c r="G308" s="22">
        <f t="shared" si="164"/>
        <v>3458</v>
      </c>
      <c r="H308" s="22">
        <f t="shared" si="164"/>
        <v>5055</v>
      </c>
      <c r="I308" s="22">
        <f t="shared" si="164"/>
        <v>60000</v>
      </c>
      <c r="J308" s="22">
        <f t="shared" si="164"/>
        <v>70000</v>
      </c>
      <c r="K308" s="22">
        <f t="shared" si="164"/>
        <v>15022</v>
      </c>
      <c r="L308" s="75">
        <f t="shared" si="164"/>
        <v>1356058</v>
      </c>
      <c r="M308" s="96">
        <f t="shared" si="164"/>
        <v>1385823</v>
      </c>
      <c r="N308" s="96">
        <f t="shared" si="164"/>
        <v>-29765</v>
      </c>
      <c r="O308" s="134">
        <f t="shared" ref="O308:O309" si="165">IF(M308,+N308/M308,0)</f>
        <v>-2.1478211863997062E-2</v>
      </c>
      <c r="P308" s="199">
        <f>+P48</f>
        <v>1263259.9400000002</v>
      </c>
    </row>
    <row r="309" spans="1:17" ht="18.75" customHeight="1" x14ac:dyDescent="0.3">
      <c r="A309" s="35" t="s">
        <v>172</v>
      </c>
      <c r="B309" s="22">
        <f t="shared" ref="B309:P309" si="166">+B305</f>
        <v>482436.80249999999</v>
      </c>
      <c r="C309" s="22">
        <f t="shared" si="166"/>
        <v>199049.32750000001</v>
      </c>
      <c r="D309" s="22">
        <f t="shared" si="166"/>
        <v>454206.89749999996</v>
      </c>
      <c r="E309" s="22">
        <f t="shared" si="166"/>
        <v>12224</v>
      </c>
      <c r="F309" s="22">
        <f t="shared" si="166"/>
        <v>54201</v>
      </c>
      <c r="G309" s="22">
        <f t="shared" si="166"/>
        <v>3458</v>
      </c>
      <c r="H309" s="22">
        <f t="shared" si="166"/>
        <v>5055</v>
      </c>
      <c r="I309" s="22">
        <f t="shared" si="166"/>
        <v>60000</v>
      </c>
      <c r="J309" s="22">
        <f t="shared" si="166"/>
        <v>69999.722500000003</v>
      </c>
      <c r="K309" s="22">
        <f t="shared" si="166"/>
        <v>15022</v>
      </c>
      <c r="L309" s="75">
        <f t="shared" si="166"/>
        <v>1355652.75</v>
      </c>
      <c r="M309" s="96">
        <f>+M305</f>
        <v>1376784</v>
      </c>
      <c r="N309" s="96">
        <f>+N305</f>
        <v>-21131.25</v>
      </c>
      <c r="O309" s="134">
        <f t="shared" si="165"/>
        <v>-1.5348268137921417E-2</v>
      </c>
      <c r="P309" s="199">
        <f t="shared" si="166"/>
        <v>1224718.96</v>
      </c>
    </row>
    <row r="310" spans="1:17" ht="18.75" customHeight="1" x14ac:dyDescent="0.3">
      <c r="A310" s="35" t="s">
        <v>185</v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75">
        <v>0</v>
      </c>
      <c r="M310" s="75">
        <v>0</v>
      </c>
      <c r="N310" s="141">
        <v>0</v>
      </c>
      <c r="O310" s="134">
        <v>0</v>
      </c>
      <c r="P310" s="199">
        <f>-15686+6099.6</f>
        <v>-9586.4</v>
      </c>
    </row>
    <row r="311" spans="1:17" ht="19.5" customHeight="1" thickBot="1" x14ac:dyDescent="0.35">
      <c r="A311" s="36" t="s">
        <v>173</v>
      </c>
      <c r="B311" s="150">
        <f t="shared" ref="B311:L311" si="167">+B308-B309</f>
        <v>-545.80249999999069</v>
      </c>
      <c r="C311" s="150">
        <f t="shared" si="167"/>
        <v>950.67249999998603</v>
      </c>
      <c r="D311" s="150">
        <f t="shared" si="167"/>
        <v>0.1025000000372529</v>
      </c>
      <c r="E311" s="150">
        <f t="shared" si="167"/>
        <v>0</v>
      </c>
      <c r="F311" s="150">
        <f t="shared" si="167"/>
        <v>0</v>
      </c>
      <c r="G311" s="150">
        <f t="shared" si="167"/>
        <v>0</v>
      </c>
      <c r="H311" s="150">
        <f t="shared" si="167"/>
        <v>0</v>
      </c>
      <c r="I311" s="150">
        <f t="shared" si="167"/>
        <v>0</v>
      </c>
      <c r="J311" s="150">
        <f t="shared" si="167"/>
        <v>0.27749999999650754</v>
      </c>
      <c r="K311" s="150">
        <f t="shared" si="167"/>
        <v>0</v>
      </c>
      <c r="L311" s="151">
        <f t="shared" si="167"/>
        <v>405.25</v>
      </c>
      <c r="M311" s="151">
        <f>+M308-M309-M310</f>
        <v>9039</v>
      </c>
      <c r="N311" s="151">
        <f t="shared" ref="N311" si="168">+N274+N279+N283+N309</f>
        <v>-20222.049999999996</v>
      </c>
      <c r="O311" s="152">
        <f t="shared" ref="O311" si="169">IF(M311,+N311/M311,0)</f>
        <v>-2.2371999114946339</v>
      </c>
      <c r="P311" s="200">
        <f>+P308-P309-P310</f>
        <v>48127.380000000216</v>
      </c>
    </row>
    <row r="312" spans="1:17" ht="19.5" customHeight="1" thickTop="1" x14ac:dyDescent="0.3">
      <c r="A312" s="36"/>
      <c r="B312" s="40"/>
      <c r="C312" s="40"/>
      <c r="D312" s="40"/>
      <c r="E312" s="40"/>
      <c r="F312" s="40"/>
      <c r="G312" s="40"/>
      <c r="H312" s="40"/>
      <c r="I312" s="40"/>
      <c r="J312" s="40"/>
      <c r="K312" s="130"/>
      <c r="L312" s="130"/>
      <c r="M312" s="130"/>
      <c r="N312" s="95"/>
      <c r="O312" s="71"/>
      <c r="P312" s="130"/>
    </row>
    <row r="313" spans="1:17" ht="19.5" customHeight="1" x14ac:dyDescent="0.25">
      <c r="A313" s="105"/>
      <c r="B313" s="40"/>
      <c r="C313" s="40"/>
      <c r="D313" s="40"/>
      <c r="E313" s="40"/>
      <c r="F313" s="40"/>
      <c r="G313" s="40"/>
      <c r="H313" s="40"/>
      <c r="I313" s="40"/>
      <c r="J313" s="40"/>
      <c r="K313" s="130"/>
      <c r="L313" s="130"/>
      <c r="M313" s="130"/>
      <c r="N313" s="95"/>
      <c r="O313" s="71"/>
      <c r="P313" s="130"/>
    </row>
    <row r="314" spans="1:17" ht="15.75" customHeight="1" x14ac:dyDescent="0.25">
      <c r="A314" s="106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202"/>
      <c r="M314" s="64"/>
      <c r="N314" s="74"/>
      <c r="O314" s="70"/>
      <c r="P314" s="64"/>
    </row>
    <row r="315" spans="1:17" ht="15.75" customHeight="1" x14ac:dyDescent="0.3">
      <c r="A315" s="35" t="s">
        <v>205</v>
      </c>
      <c r="B315" s="41" t="s">
        <v>210</v>
      </c>
      <c r="C315" s="41" t="s">
        <v>204</v>
      </c>
      <c r="D315" s="14"/>
      <c r="E315" s="14"/>
      <c r="F315" s="14"/>
      <c r="G315" s="14"/>
      <c r="H315" s="14"/>
      <c r="I315" s="14"/>
      <c r="J315" s="14"/>
      <c r="K315" s="14"/>
      <c r="L315" s="202"/>
      <c r="M315" s="64"/>
      <c r="N315" s="74"/>
      <c r="O315" s="70"/>
      <c r="P315" s="64"/>
    </row>
    <row r="316" spans="1:17" ht="15.75" customHeight="1" x14ac:dyDescent="0.25">
      <c r="A316" s="23" t="s">
        <v>206</v>
      </c>
      <c r="B316" s="14">
        <f>L7</f>
        <v>481891</v>
      </c>
      <c r="C316" s="42">
        <f t="shared" ref="C316:C323" si="170">B316/$B$323</f>
        <v>0.35536164382349428</v>
      </c>
      <c r="D316" s="14"/>
      <c r="E316" s="14"/>
      <c r="F316" s="14"/>
      <c r="G316" s="14"/>
      <c r="H316" s="14"/>
      <c r="I316" s="14"/>
      <c r="J316" s="14"/>
      <c r="K316" s="14"/>
      <c r="L316" s="202"/>
      <c r="M316" s="64"/>
      <c r="N316" s="108"/>
      <c r="O316" s="71"/>
      <c r="P316" s="64"/>
      <c r="Q316" s="69"/>
    </row>
    <row r="317" spans="1:17" ht="15.75" customHeight="1" x14ac:dyDescent="0.25">
      <c r="A317" s="23" t="s">
        <v>207</v>
      </c>
      <c r="B317" s="14">
        <f>L8</f>
        <v>200000</v>
      </c>
      <c r="C317" s="42">
        <f t="shared" si="170"/>
        <v>0.14748631695694431</v>
      </c>
      <c r="D317" s="14"/>
      <c r="E317" s="14"/>
      <c r="F317" s="14"/>
      <c r="G317" s="14"/>
      <c r="H317" s="14"/>
      <c r="I317" s="14"/>
      <c r="J317" s="14"/>
      <c r="K317" s="14"/>
      <c r="L317" s="202"/>
      <c r="M317" s="64"/>
      <c r="N317" s="74"/>
      <c r="O317" s="70"/>
      <c r="P317" s="64"/>
    </row>
    <row r="318" spans="1:17" ht="15.75" customHeight="1" x14ac:dyDescent="0.25">
      <c r="A318" s="23" t="s">
        <v>215</v>
      </c>
      <c r="B318" s="14">
        <f>+L13</f>
        <v>510914</v>
      </c>
      <c r="C318" s="42">
        <f t="shared" si="170"/>
        <v>0.37676412070870124</v>
      </c>
      <c r="D318" s="14"/>
      <c r="E318" s="14"/>
      <c r="F318" s="14"/>
      <c r="G318" s="14"/>
      <c r="H318" s="14"/>
      <c r="I318" s="14"/>
      <c r="J318" s="14"/>
      <c r="K318" s="14"/>
      <c r="L318" s="202"/>
      <c r="M318" s="64"/>
      <c r="N318" s="74"/>
      <c r="O318" s="70"/>
      <c r="P318" s="64"/>
    </row>
    <row r="319" spans="1:17" ht="15.75" customHeight="1" x14ac:dyDescent="0.25">
      <c r="A319" s="23" t="s">
        <v>264</v>
      </c>
      <c r="B319" s="14">
        <f>+L14</f>
        <v>60000</v>
      </c>
      <c r="C319" s="42">
        <f t="shared" si="170"/>
        <v>4.4245895087083299E-2</v>
      </c>
      <c r="D319" s="14"/>
      <c r="E319" s="14"/>
      <c r="F319" s="14"/>
      <c r="G319" s="14"/>
      <c r="H319" s="14"/>
      <c r="I319" s="14"/>
      <c r="J319" s="14"/>
      <c r="K319" s="14"/>
      <c r="L319" s="202"/>
      <c r="M319" s="64"/>
      <c r="N319" s="74"/>
      <c r="O319" s="70"/>
      <c r="P319" s="64"/>
    </row>
    <row r="320" spans="1:17" ht="15.75" customHeight="1" x14ac:dyDescent="0.25">
      <c r="A320" s="23" t="s">
        <v>227</v>
      </c>
      <c r="B320" s="14">
        <f>+L15</f>
        <v>18231</v>
      </c>
      <c r="C320" s="42">
        <f t="shared" si="170"/>
        <v>1.344411522221026E-2</v>
      </c>
      <c r="D320" s="14"/>
      <c r="E320" s="14"/>
      <c r="F320" s="14"/>
      <c r="G320" s="14"/>
      <c r="H320" s="14"/>
      <c r="I320" s="14"/>
      <c r="J320" s="14"/>
      <c r="K320" s="14"/>
      <c r="L320" s="202"/>
      <c r="M320" s="64"/>
      <c r="N320" s="74"/>
      <c r="O320" s="70"/>
      <c r="P320" s="64"/>
    </row>
    <row r="321" spans="1:16" ht="15.75" customHeight="1" x14ac:dyDescent="0.25">
      <c r="A321" s="23" t="s">
        <v>208</v>
      </c>
      <c r="B321" s="14">
        <f>L19</f>
        <v>70000</v>
      </c>
      <c r="C321" s="42">
        <f t="shared" si="170"/>
        <v>5.1620210934930515E-2</v>
      </c>
      <c r="D321" s="14"/>
      <c r="E321" s="14"/>
      <c r="F321" s="14"/>
      <c r="G321" s="14"/>
      <c r="H321" s="14"/>
      <c r="I321" s="14"/>
      <c r="J321" s="14"/>
      <c r="K321" s="14"/>
      <c r="L321" s="202"/>
      <c r="M321" s="64"/>
      <c r="N321" s="74"/>
      <c r="O321" s="70"/>
      <c r="P321" s="64"/>
    </row>
    <row r="322" spans="1:16" ht="15.75" customHeight="1" x14ac:dyDescent="0.25">
      <c r="A322" s="23" t="s">
        <v>20</v>
      </c>
      <c r="B322" s="47">
        <f>L41</f>
        <v>15022</v>
      </c>
      <c r="C322" s="43">
        <f t="shared" si="170"/>
        <v>1.1077697266636087E-2</v>
      </c>
      <c r="D322" s="14"/>
      <c r="E322" s="14"/>
      <c r="F322" s="14"/>
      <c r="G322" s="14"/>
      <c r="H322" s="14"/>
      <c r="I322" s="14"/>
      <c r="J322" s="14"/>
      <c r="K322" s="14"/>
      <c r="L322" s="202"/>
      <c r="M322" s="64"/>
      <c r="N322" s="74"/>
      <c r="O322" s="70"/>
      <c r="P322" s="64"/>
    </row>
    <row r="323" spans="1:16" ht="15.75" customHeight="1" x14ac:dyDescent="0.25">
      <c r="A323" s="12" t="s">
        <v>209</v>
      </c>
      <c r="B323" s="46">
        <f>SUM(B316:B322)</f>
        <v>1356058</v>
      </c>
      <c r="C323" s="42">
        <f t="shared" si="170"/>
        <v>1</v>
      </c>
      <c r="D323" s="14"/>
      <c r="E323" s="14"/>
      <c r="F323" s="14"/>
      <c r="G323" s="14"/>
      <c r="H323" s="14"/>
      <c r="I323" s="14"/>
      <c r="J323" s="14"/>
      <c r="K323" s="14"/>
      <c r="L323" s="202"/>
      <c r="M323" s="64"/>
      <c r="N323" s="74"/>
      <c r="O323" s="70"/>
      <c r="P323" s="64"/>
    </row>
    <row r="324" spans="1:16" ht="15.75" customHeight="1" x14ac:dyDescent="0.25">
      <c r="A324" s="25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202"/>
      <c r="M324" s="64"/>
      <c r="N324" s="74"/>
      <c r="O324" s="70"/>
      <c r="P324" s="64"/>
    </row>
    <row r="325" spans="1:16" ht="18.75" x14ac:dyDescent="0.3">
      <c r="A325" s="35" t="s">
        <v>211</v>
      </c>
      <c r="B325" s="41" t="s">
        <v>200</v>
      </c>
      <c r="C325" s="41" t="s">
        <v>203</v>
      </c>
      <c r="D325" s="41" t="s">
        <v>201</v>
      </c>
      <c r="E325" s="41" t="s">
        <v>204</v>
      </c>
      <c r="F325" s="14" t="s">
        <v>289</v>
      </c>
      <c r="G325" s="14"/>
      <c r="H325" s="14"/>
      <c r="I325" s="14"/>
      <c r="J325" s="14"/>
      <c r="K325" s="14"/>
      <c r="L325" s="202"/>
      <c r="M325" s="64"/>
      <c r="N325" s="74"/>
      <c r="O325" s="70"/>
      <c r="P325" s="64"/>
    </row>
    <row r="326" spans="1:16" x14ac:dyDescent="0.25">
      <c r="A326" s="23" t="s">
        <v>197</v>
      </c>
      <c r="B326" s="10">
        <f>L76</f>
        <v>82932.212499999994</v>
      </c>
      <c r="C326" s="10">
        <f>L58</f>
        <v>108000</v>
      </c>
      <c r="D326" s="10">
        <f>SUM(B326:C326)</f>
        <v>190932.21249999999</v>
      </c>
      <c r="E326" s="42">
        <f>D326/$D$333</f>
        <v>0.14084153371871963</v>
      </c>
      <c r="F326" s="42">
        <f>B326/$B$333</f>
        <v>0.10708810256837369</v>
      </c>
      <c r="G326" s="42"/>
      <c r="H326" s="14"/>
      <c r="I326" s="14"/>
      <c r="J326" s="14"/>
      <c r="K326" s="14"/>
      <c r="L326" s="202"/>
      <c r="M326" s="64"/>
      <c r="N326" s="74"/>
      <c r="O326" s="70"/>
      <c r="P326" s="64"/>
    </row>
    <row r="327" spans="1:16" x14ac:dyDescent="0.25">
      <c r="A327" s="23" t="s">
        <v>202</v>
      </c>
      <c r="B327" s="10">
        <f>L146</f>
        <v>44525.781999999999</v>
      </c>
      <c r="C327" s="10">
        <f>L148-B327</f>
        <v>41250.000000000007</v>
      </c>
      <c r="D327" s="10">
        <f t="shared" ref="D327:D332" si="171">SUM(B327:C327)</f>
        <v>85775.782000000007</v>
      </c>
      <c r="E327" s="42">
        <f t="shared" ref="E327:E333" si="172">D327/$D$333</f>
        <v>6.3272679526523296E-2</v>
      </c>
      <c r="F327" s="42">
        <f t="shared" ref="F327:F333" si="173">B327/$B$333</f>
        <v>5.7494927073759756E-2</v>
      </c>
      <c r="G327" s="42"/>
      <c r="H327" s="14"/>
      <c r="I327" s="14"/>
      <c r="J327" s="14"/>
      <c r="K327" s="14"/>
      <c r="L327" s="202"/>
      <c r="M327" s="64"/>
      <c r="N327" s="74"/>
      <c r="O327" s="70"/>
      <c r="P327" s="64"/>
    </row>
    <row r="328" spans="1:16" s="104" customFormat="1" x14ac:dyDescent="0.25">
      <c r="A328" s="121" t="s">
        <v>290</v>
      </c>
      <c r="B328" s="116">
        <f>L194</f>
        <v>206479.7225</v>
      </c>
      <c r="C328" s="116">
        <f>L196-B328</f>
        <v>47000</v>
      </c>
      <c r="D328" s="116">
        <f t="shared" si="171"/>
        <v>253479.7225</v>
      </c>
      <c r="E328" s="122">
        <f t="shared" si="172"/>
        <v>0.18697983130266951</v>
      </c>
      <c r="F328" s="122">
        <f t="shared" si="173"/>
        <v>0.26662163030281316</v>
      </c>
      <c r="G328" s="123"/>
      <c r="H328" s="124"/>
      <c r="I328" s="124"/>
      <c r="J328" s="124"/>
      <c r="K328" s="124"/>
      <c r="L328" s="125"/>
      <c r="M328" s="124"/>
      <c r="N328" s="126"/>
      <c r="O328" s="127"/>
      <c r="P328" s="124"/>
    </row>
    <row r="329" spans="1:16" x14ac:dyDescent="0.25">
      <c r="A329" s="23" t="s">
        <v>47</v>
      </c>
      <c r="B329" s="10">
        <f>C83+C85+C87+C89+C91+C93</f>
        <v>15000</v>
      </c>
      <c r="C329" s="10">
        <f>L98-B329</f>
        <v>92900</v>
      </c>
      <c r="D329" s="10">
        <f t="shared" si="171"/>
        <v>107900</v>
      </c>
      <c r="E329" s="42">
        <f t="shared" si="172"/>
        <v>7.9592653797220567E-2</v>
      </c>
      <c r="F329" s="42">
        <f t="shared" si="173"/>
        <v>1.9369090611511243E-2</v>
      </c>
      <c r="G329" s="42"/>
      <c r="L329" s="203"/>
      <c r="M329" s="65"/>
      <c r="N329" s="74"/>
      <c r="O329" s="70"/>
      <c r="P329" s="64"/>
    </row>
    <row r="330" spans="1:16" x14ac:dyDescent="0.25">
      <c r="A330" s="23" t="s">
        <v>198</v>
      </c>
      <c r="B330" s="10">
        <f>B301</f>
        <v>197391.80249999999</v>
      </c>
      <c r="C330" s="10">
        <f>L303-B330</f>
        <v>27800</v>
      </c>
      <c r="D330" s="10">
        <f t="shared" si="171"/>
        <v>225191.80249999999</v>
      </c>
      <c r="E330" s="42">
        <f t="shared" si="172"/>
        <v>0.16611318975305439</v>
      </c>
      <c r="F330" s="42">
        <f t="shared" si="173"/>
        <v>0.25488664723946874</v>
      </c>
      <c r="G330" s="42"/>
      <c r="L330" s="203"/>
      <c r="M330" s="65"/>
      <c r="N330" s="74"/>
      <c r="O330" s="70"/>
      <c r="P330" s="64"/>
    </row>
    <row r="331" spans="1:16" x14ac:dyDescent="0.25">
      <c r="A331" s="23" t="s">
        <v>109</v>
      </c>
      <c r="B331" s="10">
        <v>0</v>
      </c>
      <c r="C331" s="10">
        <f>L202</f>
        <v>132173</v>
      </c>
      <c r="D331" s="10">
        <f t="shared" si="171"/>
        <v>132173</v>
      </c>
      <c r="E331" s="42">
        <f t="shared" si="172"/>
        <v>9.749768146747019E-2</v>
      </c>
      <c r="F331" s="42">
        <f t="shared" si="173"/>
        <v>0</v>
      </c>
      <c r="G331" s="42"/>
      <c r="L331" s="203"/>
      <c r="M331" s="65"/>
      <c r="N331" s="74"/>
      <c r="O331" s="70"/>
      <c r="P331" s="64"/>
    </row>
    <row r="332" spans="1:16" x14ac:dyDescent="0.25">
      <c r="A332" s="23" t="s">
        <v>199</v>
      </c>
      <c r="B332" s="39">
        <f>L253</f>
        <v>228100.23050000001</v>
      </c>
      <c r="C332" s="39">
        <f>L258-B332</f>
        <v>132100</v>
      </c>
      <c r="D332" s="39">
        <f t="shared" si="171"/>
        <v>360200.23050000001</v>
      </c>
      <c r="E332" s="43">
        <f t="shared" si="172"/>
        <v>0.26570243043434244</v>
      </c>
      <c r="F332" s="43">
        <f t="shared" si="173"/>
        <v>0.29453960220407338</v>
      </c>
      <c r="G332" s="42"/>
      <c r="L332" s="203"/>
      <c r="M332" s="65"/>
      <c r="N332" s="74"/>
      <c r="O332" s="70"/>
      <c r="P332" s="64"/>
    </row>
    <row r="333" spans="1:16" x14ac:dyDescent="0.25">
      <c r="A333" s="12" t="s">
        <v>172</v>
      </c>
      <c r="B333" s="45">
        <f>SUM(B326:B332)</f>
        <v>774429.75</v>
      </c>
      <c r="C333" s="45">
        <f t="shared" ref="C333:D333" si="174">SUM(C326:C332)</f>
        <v>581223</v>
      </c>
      <c r="D333" s="45">
        <f t="shared" si="174"/>
        <v>1355652.75</v>
      </c>
      <c r="E333" s="44">
        <f t="shared" si="172"/>
        <v>1</v>
      </c>
      <c r="F333" s="42">
        <f t="shared" si="173"/>
        <v>1</v>
      </c>
      <c r="H333" s="49"/>
      <c r="L333" s="203"/>
      <c r="M333" s="65"/>
      <c r="N333" s="74"/>
      <c r="O333" s="70"/>
      <c r="P333" s="64"/>
    </row>
    <row r="334" spans="1:16" x14ac:dyDescent="0.25">
      <c r="A334" s="23" t="s">
        <v>204</v>
      </c>
      <c r="B334" s="42">
        <f>B333/D333</f>
        <v>0.57125967545892564</v>
      </c>
      <c r="C334" s="42">
        <f>C333/$D$333</f>
        <v>0.42874032454107441</v>
      </c>
      <c r="D334" s="42">
        <f>D333/$D$333</f>
        <v>1</v>
      </c>
      <c r="L334" s="203"/>
      <c r="M334" s="65"/>
      <c r="N334" s="74"/>
      <c r="O334" s="70"/>
      <c r="P334" s="64"/>
    </row>
    <row r="335" spans="1:16" x14ac:dyDescent="0.25">
      <c r="A335" s="24"/>
      <c r="L335" s="203"/>
      <c r="M335" s="65"/>
      <c r="N335" s="74"/>
      <c r="O335" s="70"/>
      <c r="P335" s="64"/>
    </row>
    <row r="336" spans="1:16" ht="18.75" x14ac:dyDescent="0.3">
      <c r="A336" s="35" t="s">
        <v>212</v>
      </c>
      <c r="B336" s="41" t="s">
        <v>210</v>
      </c>
      <c r="C336" s="41" t="s">
        <v>204</v>
      </c>
      <c r="L336" s="203"/>
      <c r="M336" s="65"/>
      <c r="N336" s="74"/>
      <c r="O336" s="70"/>
      <c r="P336" s="64"/>
    </row>
    <row r="337" spans="1:16" x14ac:dyDescent="0.25">
      <c r="A337" s="23" t="s">
        <v>197</v>
      </c>
      <c r="B337" s="10">
        <f>C78</f>
        <v>36549.327499999999</v>
      </c>
      <c r="C337" s="42">
        <f t="shared" ref="C337:C342" si="175">B337/$B$342</f>
        <v>0.18361944729504298</v>
      </c>
      <c r="L337" s="203"/>
      <c r="M337" s="65"/>
      <c r="N337" s="74"/>
      <c r="O337" s="70"/>
      <c r="P337" s="64"/>
    </row>
    <row r="338" spans="1:16" x14ac:dyDescent="0.25">
      <c r="A338" s="23" t="s">
        <v>47</v>
      </c>
      <c r="B338" s="10">
        <f>C98</f>
        <v>107900</v>
      </c>
      <c r="C338" s="42">
        <f t="shared" si="175"/>
        <v>0.54207668699609146</v>
      </c>
      <c r="L338" s="203"/>
      <c r="M338" s="65"/>
      <c r="N338" s="74"/>
      <c r="O338" s="70"/>
      <c r="P338" s="64"/>
    </row>
    <row r="339" spans="1:16" x14ac:dyDescent="0.25">
      <c r="A339" s="23" t="s">
        <v>202</v>
      </c>
      <c r="B339" s="10">
        <f>C148</f>
        <v>17600</v>
      </c>
      <c r="C339" s="42">
        <f t="shared" si="175"/>
        <v>8.8420293708352263E-2</v>
      </c>
      <c r="L339" s="203"/>
      <c r="M339" s="65"/>
      <c r="N339" s="74"/>
      <c r="O339" s="70"/>
      <c r="P339" s="64"/>
    </row>
    <row r="340" spans="1:16" x14ac:dyDescent="0.25">
      <c r="A340" s="23" t="s">
        <v>175</v>
      </c>
      <c r="B340" s="10">
        <f>C162</f>
        <v>30000</v>
      </c>
      <c r="C340" s="42">
        <f t="shared" si="175"/>
        <v>0.15071640973014591</v>
      </c>
      <c r="L340" s="203"/>
      <c r="M340" s="65"/>
      <c r="N340" s="74"/>
      <c r="O340" s="70"/>
      <c r="P340" s="64"/>
    </row>
    <row r="341" spans="1:16" x14ac:dyDescent="0.25">
      <c r="A341" s="23" t="s">
        <v>213</v>
      </c>
      <c r="B341" s="39">
        <f>C196-B340</f>
        <v>7000</v>
      </c>
      <c r="C341" s="48">
        <f t="shared" si="175"/>
        <v>3.5167162270367376E-2</v>
      </c>
      <c r="L341" s="203"/>
      <c r="M341" s="65"/>
      <c r="N341" s="74"/>
      <c r="O341" s="70"/>
      <c r="P341" s="64"/>
    </row>
    <row r="342" spans="1:16" x14ac:dyDescent="0.25">
      <c r="A342" s="12" t="s">
        <v>214</v>
      </c>
      <c r="B342" s="45">
        <f>SUM(B337:B341)</f>
        <v>199049.32750000001</v>
      </c>
      <c r="C342" s="42">
        <f t="shared" si="175"/>
        <v>1</v>
      </c>
      <c r="L342" s="203"/>
      <c r="M342" s="65"/>
      <c r="N342" s="74"/>
      <c r="O342" s="70"/>
      <c r="P342" s="64"/>
    </row>
    <row r="343" spans="1:16" x14ac:dyDescent="0.25">
      <c r="A343" s="24"/>
      <c r="L343" s="203"/>
      <c r="M343" s="65"/>
      <c r="N343" s="74"/>
      <c r="O343" s="70"/>
      <c r="P343" s="64"/>
    </row>
    <row r="344" spans="1:16" x14ac:dyDescent="0.25">
      <c r="A344" s="24"/>
      <c r="L344" s="203"/>
      <c r="M344" s="65"/>
      <c r="N344" s="74"/>
      <c r="O344" s="70"/>
      <c r="P344" s="64"/>
    </row>
    <row r="345" spans="1:16" x14ac:dyDescent="0.25">
      <c r="A345" s="24"/>
      <c r="L345" s="203"/>
      <c r="M345" s="65"/>
      <c r="N345" s="74"/>
      <c r="O345" s="70"/>
      <c r="P345" s="64"/>
    </row>
    <row r="346" spans="1:16" x14ac:dyDescent="0.25">
      <c r="A346" s="24"/>
      <c r="L346" s="203"/>
      <c r="M346" s="65"/>
      <c r="N346" s="74"/>
      <c r="O346" s="70"/>
      <c r="P346" s="64"/>
    </row>
    <row r="347" spans="1:16" x14ac:dyDescent="0.25">
      <c r="A347" s="24"/>
      <c r="L347" s="203"/>
      <c r="M347" s="65"/>
      <c r="N347" s="74"/>
      <c r="O347" s="70"/>
      <c r="P347" s="64"/>
    </row>
    <row r="348" spans="1:16" x14ac:dyDescent="0.25">
      <c r="A348" s="24"/>
      <c r="L348" s="203"/>
      <c r="M348" s="65"/>
      <c r="N348" s="74"/>
      <c r="O348" s="70"/>
      <c r="P348" s="64"/>
    </row>
    <row r="349" spans="1:16" x14ac:dyDescent="0.25">
      <c r="A349" s="24"/>
      <c r="L349" s="203"/>
      <c r="M349" s="65"/>
      <c r="N349" s="74"/>
      <c r="O349" s="70"/>
      <c r="P349" s="64"/>
    </row>
    <row r="350" spans="1:16" x14ac:dyDescent="0.25">
      <c r="A350" s="24"/>
      <c r="L350" s="203"/>
      <c r="M350" s="65"/>
      <c r="N350" s="74"/>
      <c r="O350" s="70"/>
      <c r="P350" s="64"/>
    </row>
    <row r="351" spans="1:16" x14ac:dyDescent="0.25">
      <c r="A351" s="24"/>
      <c r="L351" s="203"/>
      <c r="M351" s="65"/>
      <c r="N351" s="74"/>
      <c r="O351" s="70"/>
      <c r="P351" s="64"/>
    </row>
    <row r="352" spans="1:16" x14ac:dyDescent="0.25">
      <c r="A352" s="24"/>
      <c r="L352" s="203"/>
      <c r="M352" s="65"/>
      <c r="N352" s="74"/>
      <c r="O352" s="70"/>
      <c r="P352" s="64"/>
    </row>
    <row r="353" spans="1:16" x14ac:dyDescent="0.25">
      <c r="A353" s="24"/>
      <c r="L353" s="203"/>
      <c r="M353" s="65"/>
      <c r="N353" s="74"/>
      <c r="O353" s="70"/>
      <c r="P353" s="64"/>
    </row>
    <row r="354" spans="1:16" x14ac:dyDescent="0.25">
      <c r="A354" s="24"/>
      <c r="L354" s="203"/>
      <c r="M354" s="65"/>
      <c r="N354" s="74"/>
      <c r="O354" s="70"/>
      <c r="P354" s="64"/>
    </row>
    <row r="355" spans="1:16" x14ac:dyDescent="0.25">
      <c r="A355" s="24"/>
      <c r="L355" s="203"/>
      <c r="M355" s="65"/>
      <c r="N355" s="74"/>
      <c r="O355" s="70"/>
      <c r="P355" s="64"/>
    </row>
    <row r="356" spans="1:16" x14ac:dyDescent="0.25">
      <c r="A356" s="24"/>
      <c r="L356" s="203"/>
      <c r="M356" s="65"/>
      <c r="N356" s="74"/>
      <c r="O356" s="70"/>
      <c r="P356" s="64"/>
    </row>
    <row r="357" spans="1:16" x14ac:dyDescent="0.25">
      <c r="A357" s="24"/>
      <c r="L357" s="203"/>
      <c r="M357" s="65"/>
      <c r="N357" s="74"/>
      <c r="O357" s="70"/>
      <c r="P357" s="64"/>
    </row>
    <row r="358" spans="1:16" x14ac:dyDescent="0.25">
      <c r="A358" s="24"/>
      <c r="L358" s="203"/>
      <c r="M358" s="65"/>
      <c r="N358" s="74"/>
      <c r="O358" s="70"/>
      <c r="P358" s="64"/>
    </row>
    <row r="359" spans="1:16" x14ac:dyDescent="0.25">
      <c r="A359" s="24"/>
      <c r="L359" s="203"/>
      <c r="M359" s="65"/>
      <c r="N359" s="74"/>
      <c r="O359" s="70"/>
      <c r="P359" s="64"/>
    </row>
    <row r="360" spans="1:16" x14ac:dyDescent="0.25">
      <c r="A360" s="24"/>
      <c r="L360" s="203"/>
      <c r="M360" s="65"/>
      <c r="N360" s="74"/>
      <c r="O360" s="70"/>
      <c r="P360" s="64"/>
    </row>
    <row r="361" spans="1:16" x14ac:dyDescent="0.25">
      <c r="A361" s="24"/>
      <c r="L361" s="203"/>
      <c r="M361" s="65"/>
      <c r="N361" s="74"/>
      <c r="O361" s="70"/>
      <c r="P361" s="64"/>
    </row>
    <row r="362" spans="1:16" x14ac:dyDescent="0.25">
      <c r="A362" s="24"/>
      <c r="L362" s="203"/>
      <c r="M362" s="65"/>
      <c r="N362" s="74"/>
      <c r="O362" s="70"/>
      <c r="P362" s="64"/>
    </row>
    <row r="363" spans="1:16" x14ac:dyDescent="0.25">
      <c r="A363" s="24"/>
      <c r="L363" s="203"/>
      <c r="M363" s="65"/>
      <c r="N363" s="74"/>
      <c r="O363" s="70"/>
      <c r="P363" s="64"/>
    </row>
    <row r="364" spans="1:16" x14ac:dyDescent="0.25">
      <c r="A364" s="24"/>
      <c r="L364" s="203"/>
      <c r="M364" s="65"/>
      <c r="N364" s="74"/>
      <c r="O364" s="70"/>
      <c r="P364" s="64"/>
    </row>
    <row r="365" spans="1:16" x14ac:dyDescent="0.25">
      <c r="A365" s="24"/>
      <c r="L365" s="203"/>
      <c r="M365" s="65"/>
      <c r="N365" s="74"/>
      <c r="O365" s="70"/>
      <c r="P365" s="64"/>
    </row>
    <row r="366" spans="1:16" x14ac:dyDescent="0.25">
      <c r="A366" s="24"/>
      <c r="L366" s="203"/>
      <c r="M366" s="65"/>
      <c r="N366" s="74"/>
      <c r="O366" s="70"/>
      <c r="P366" s="64"/>
    </row>
    <row r="367" spans="1:16" x14ac:dyDescent="0.25">
      <c r="A367" s="24"/>
      <c r="L367" s="203"/>
      <c r="M367" s="65"/>
      <c r="N367" s="74"/>
      <c r="O367" s="70"/>
      <c r="P367" s="64"/>
    </row>
    <row r="368" spans="1:16" x14ac:dyDescent="0.25">
      <c r="A368" s="24"/>
      <c r="L368" s="203"/>
      <c r="M368" s="65"/>
      <c r="N368" s="74"/>
      <c r="O368" s="70"/>
      <c r="P368" s="64"/>
    </row>
    <row r="369" spans="1:16" x14ac:dyDescent="0.25">
      <c r="A369" s="24"/>
      <c r="L369" s="203"/>
      <c r="M369" s="65"/>
      <c r="N369" s="74"/>
      <c r="O369" s="70"/>
      <c r="P369" s="64"/>
    </row>
    <row r="370" spans="1:16" x14ac:dyDescent="0.25">
      <c r="A370" s="24"/>
      <c r="L370" s="203"/>
      <c r="M370" s="65"/>
      <c r="N370" s="74"/>
      <c r="O370" s="70"/>
      <c r="P370" s="64"/>
    </row>
    <row r="371" spans="1:16" x14ac:dyDescent="0.25">
      <c r="A371" s="24"/>
      <c r="L371" s="203"/>
      <c r="M371" s="65"/>
      <c r="N371" s="74"/>
      <c r="O371" s="70"/>
      <c r="P371" s="64"/>
    </row>
    <row r="372" spans="1:16" x14ac:dyDescent="0.25">
      <c r="A372" s="24"/>
      <c r="L372" s="203"/>
      <c r="M372" s="65"/>
      <c r="N372" s="74"/>
      <c r="O372" s="70"/>
      <c r="P372" s="64"/>
    </row>
    <row r="373" spans="1:16" x14ac:dyDescent="0.25">
      <c r="A373" s="24"/>
      <c r="L373" s="203"/>
      <c r="M373" s="65"/>
      <c r="N373" s="74"/>
      <c r="O373" s="70"/>
      <c r="P373" s="64"/>
    </row>
    <row r="374" spans="1:16" x14ac:dyDescent="0.25">
      <c r="A374" s="24"/>
      <c r="L374" s="203"/>
      <c r="M374" s="65"/>
      <c r="N374" s="74"/>
      <c r="O374" s="70"/>
      <c r="P374" s="64"/>
    </row>
    <row r="375" spans="1:16" x14ac:dyDescent="0.25">
      <c r="A375" s="24"/>
      <c r="L375" s="203"/>
      <c r="M375" s="65"/>
      <c r="N375" s="74"/>
      <c r="O375" s="70"/>
      <c r="P375" s="64"/>
    </row>
    <row r="376" spans="1:16" x14ac:dyDescent="0.25">
      <c r="A376" s="24"/>
      <c r="L376" s="203"/>
      <c r="M376" s="65"/>
      <c r="N376" s="74"/>
      <c r="O376" s="70"/>
      <c r="P376" s="64"/>
    </row>
    <row r="377" spans="1:16" x14ac:dyDescent="0.25">
      <c r="A377" s="24"/>
      <c r="L377" s="203"/>
      <c r="M377" s="65"/>
      <c r="N377" s="74"/>
      <c r="O377" s="70"/>
      <c r="P377" s="64"/>
    </row>
    <row r="378" spans="1:16" x14ac:dyDescent="0.25">
      <c r="A378" s="24"/>
      <c r="L378" s="203"/>
      <c r="M378" s="65"/>
      <c r="N378" s="74"/>
      <c r="O378" s="70"/>
      <c r="P378" s="64"/>
    </row>
    <row r="379" spans="1:16" x14ac:dyDescent="0.25">
      <c r="A379" s="24"/>
      <c r="L379" s="203"/>
      <c r="M379" s="65"/>
      <c r="N379" s="74"/>
      <c r="O379" s="70"/>
      <c r="P379" s="64"/>
    </row>
    <row r="380" spans="1:16" x14ac:dyDescent="0.25">
      <c r="A380" s="24"/>
      <c r="L380" s="203"/>
      <c r="M380" s="65"/>
      <c r="N380" s="74"/>
      <c r="O380" s="70"/>
      <c r="P380" s="64"/>
    </row>
    <row r="381" spans="1:16" x14ac:dyDescent="0.25">
      <c r="A381" s="24"/>
      <c r="L381" s="203"/>
      <c r="M381" s="65"/>
      <c r="N381" s="74"/>
      <c r="O381" s="70"/>
      <c r="P381" s="64"/>
    </row>
    <row r="382" spans="1:16" x14ac:dyDescent="0.25">
      <c r="A382" s="24"/>
      <c r="L382" s="203"/>
      <c r="M382" s="65"/>
      <c r="N382" s="74"/>
      <c r="O382" s="70"/>
      <c r="P382" s="64"/>
    </row>
    <row r="383" spans="1:16" x14ac:dyDescent="0.25">
      <c r="A383" s="24"/>
      <c r="L383" s="203"/>
      <c r="M383" s="65"/>
      <c r="N383" s="74"/>
      <c r="O383" s="70"/>
      <c r="P383" s="64"/>
    </row>
    <row r="384" spans="1:16" x14ac:dyDescent="0.25">
      <c r="A384" s="24"/>
      <c r="L384" s="203"/>
      <c r="M384" s="65"/>
      <c r="N384" s="74"/>
      <c r="O384" s="70"/>
      <c r="P384" s="64"/>
    </row>
    <row r="385" spans="1:16" x14ac:dyDescent="0.25">
      <c r="A385" s="24"/>
      <c r="L385" s="203"/>
      <c r="M385" s="65"/>
      <c r="N385" s="74"/>
      <c r="O385" s="70"/>
      <c r="P385" s="64"/>
    </row>
    <row r="386" spans="1:16" x14ac:dyDescent="0.25">
      <c r="A386" s="24"/>
      <c r="L386" s="203"/>
      <c r="M386" s="65"/>
      <c r="N386" s="74"/>
      <c r="O386" s="70"/>
      <c r="P386" s="64"/>
    </row>
    <row r="387" spans="1:16" x14ac:dyDescent="0.25">
      <c r="A387" s="24"/>
      <c r="L387" s="203"/>
      <c r="M387" s="65"/>
      <c r="N387" s="74"/>
      <c r="O387" s="70"/>
      <c r="P387" s="64"/>
    </row>
    <row r="388" spans="1:16" x14ac:dyDescent="0.25">
      <c r="A388" s="24"/>
      <c r="L388" s="203"/>
      <c r="M388" s="65"/>
      <c r="N388" s="74"/>
      <c r="O388" s="70"/>
      <c r="P388" s="64"/>
    </row>
    <row r="389" spans="1:16" x14ac:dyDescent="0.25">
      <c r="A389" s="24"/>
      <c r="L389" s="203"/>
      <c r="M389" s="65"/>
      <c r="N389" s="74"/>
      <c r="O389" s="70"/>
      <c r="P389" s="64"/>
    </row>
    <row r="390" spans="1:16" x14ac:dyDescent="0.25">
      <c r="A390" s="24"/>
      <c r="L390" s="203"/>
      <c r="M390" s="65"/>
      <c r="N390" s="74"/>
      <c r="O390" s="70"/>
      <c r="P390" s="64"/>
    </row>
    <row r="391" spans="1:16" x14ac:dyDescent="0.25">
      <c r="A391" s="24"/>
      <c r="L391" s="203"/>
      <c r="M391" s="65"/>
      <c r="N391" s="74"/>
      <c r="O391" s="70"/>
      <c r="P391" s="64"/>
    </row>
    <row r="392" spans="1:16" x14ac:dyDescent="0.25">
      <c r="A392" s="24"/>
      <c r="L392" s="203"/>
      <c r="M392" s="65"/>
      <c r="N392" s="74"/>
      <c r="O392" s="70"/>
      <c r="P392" s="64"/>
    </row>
    <row r="393" spans="1:16" x14ac:dyDescent="0.25">
      <c r="A393" s="24"/>
      <c r="L393" s="203"/>
      <c r="M393" s="65"/>
      <c r="N393" s="74"/>
      <c r="O393" s="70"/>
      <c r="P393" s="64"/>
    </row>
    <row r="394" spans="1:16" x14ac:dyDescent="0.25">
      <c r="A394" s="24"/>
      <c r="L394" s="203"/>
      <c r="M394" s="65"/>
      <c r="N394" s="74"/>
      <c r="O394" s="70"/>
      <c r="P394" s="64"/>
    </row>
    <row r="395" spans="1:16" x14ac:dyDescent="0.25">
      <c r="A395" s="24"/>
      <c r="L395" s="203"/>
      <c r="M395" s="65"/>
      <c r="N395" s="74"/>
      <c r="O395" s="70"/>
      <c r="P395" s="64"/>
    </row>
    <row r="396" spans="1:16" x14ac:dyDescent="0.25">
      <c r="A396" s="24"/>
      <c r="L396" s="203"/>
      <c r="M396" s="65"/>
      <c r="N396" s="74"/>
      <c r="O396" s="70"/>
      <c r="P396" s="64"/>
    </row>
    <row r="397" spans="1:16" x14ac:dyDescent="0.25">
      <c r="A397" s="24"/>
      <c r="L397" s="203"/>
      <c r="M397" s="65"/>
      <c r="N397" s="74"/>
      <c r="O397" s="70"/>
      <c r="P397" s="64"/>
    </row>
    <row r="398" spans="1:16" x14ac:dyDescent="0.25">
      <c r="A398" s="24"/>
      <c r="L398" s="203"/>
      <c r="M398" s="65"/>
      <c r="N398" s="74"/>
      <c r="O398" s="70"/>
      <c r="P398" s="64"/>
    </row>
    <row r="399" spans="1:16" x14ac:dyDescent="0.25">
      <c r="A399" s="24"/>
      <c r="L399" s="203"/>
      <c r="M399" s="65"/>
      <c r="N399" s="74"/>
      <c r="O399" s="70"/>
      <c r="P399" s="64"/>
    </row>
    <row r="400" spans="1:16" x14ac:dyDescent="0.25">
      <c r="A400" s="24"/>
      <c r="L400" s="203"/>
      <c r="M400" s="65"/>
      <c r="N400" s="74"/>
      <c r="O400" s="70"/>
      <c r="P400" s="64"/>
    </row>
    <row r="401" spans="1:16" x14ac:dyDescent="0.25">
      <c r="A401" s="24"/>
      <c r="L401" s="203"/>
      <c r="M401" s="65"/>
      <c r="N401" s="74"/>
      <c r="O401" s="70"/>
      <c r="P401" s="64"/>
    </row>
    <row r="402" spans="1:16" x14ac:dyDescent="0.25">
      <c r="A402" s="24"/>
      <c r="L402" s="203"/>
      <c r="M402" s="65"/>
      <c r="N402" s="62"/>
      <c r="O402" s="70"/>
      <c r="P402" s="64"/>
    </row>
    <row r="403" spans="1:16" x14ac:dyDescent="0.25">
      <c r="A403" s="24"/>
      <c r="L403" s="203"/>
      <c r="M403" s="65"/>
      <c r="N403" s="62"/>
      <c r="O403" s="70"/>
      <c r="P403" s="64"/>
    </row>
    <row r="404" spans="1:16" x14ac:dyDescent="0.25">
      <c r="A404" s="24"/>
      <c r="L404" s="203"/>
      <c r="M404" s="65"/>
      <c r="N404" s="62"/>
      <c r="O404" s="70"/>
      <c r="P404" s="64"/>
    </row>
    <row r="405" spans="1:16" x14ac:dyDescent="0.25">
      <c r="A405" s="24"/>
      <c r="L405" s="203"/>
      <c r="M405" s="65"/>
      <c r="N405" s="62"/>
      <c r="O405" s="70"/>
      <c r="P405" s="64"/>
    </row>
    <row r="406" spans="1:16" x14ac:dyDescent="0.25">
      <c r="A406" s="24"/>
      <c r="L406" s="203"/>
      <c r="M406" s="65"/>
      <c r="N406" s="62"/>
      <c r="O406" s="70"/>
      <c r="P406" s="64"/>
    </row>
    <row r="407" spans="1:16" x14ac:dyDescent="0.25">
      <c r="A407" s="24"/>
      <c r="L407" s="203"/>
      <c r="M407" s="65"/>
      <c r="N407" s="62"/>
      <c r="O407" s="70"/>
      <c r="P407" s="64"/>
    </row>
    <row r="408" spans="1:16" x14ac:dyDescent="0.25">
      <c r="A408" s="24"/>
      <c r="L408" s="203"/>
      <c r="M408" s="65"/>
      <c r="N408" s="62"/>
      <c r="O408" s="70"/>
      <c r="P408" s="64"/>
    </row>
    <row r="409" spans="1:16" x14ac:dyDescent="0.25">
      <c r="A409" s="24"/>
      <c r="L409" s="203"/>
      <c r="M409" s="65"/>
      <c r="N409" s="62"/>
      <c r="O409" s="70"/>
      <c r="P409" s="64"/>
    </row>
    <row r="410" spans="1:16" x14ac:dyDescent="0.25">
      <c r="A410" s="24"/>
      <c r="L410" s="203"/>
      <c r="M410" s="65"/>
      <c r="N410" s="62"/>
      <c r="O410" s="70"/>
      <c r="P410" s="64"/>
    </row>
    <row r="411" spans="1:16" x14ac:dyDescent="0.25">
      <c r="A411" s="24"/>
      <c r="L411" s="203"/>
      <c r="M411" s="65"/>
      <c r="N411" s="62"/>
      <c r="O411" s="70"/>
      <c r="P411" s="64"/>
    </row>
    <row r="412" spans="1:16" x14ac:dyDescent="0.25">
      <c r="A412" s="24"/>
      <c r="L412" s="203"/>
      <c r="M412" s="65"/>
      <c r="N412" s="62"/>
      <c r="O412" s="70"/>
      <c r="P412" s="64"/>
    </row>
    <row r="413" spans="1:16" x14ac:dyDescent="0.25">
      <c r="A413" s="24"/>
      <c r="L413" s="203"/>
      <c r="M413" s="65"/>
      <c r="N413" s="62"/>
      <c r="O413" s="70"/>
      <c r="P413" s="64"/>
    </row>
    <row r="414" spans="1:16" x14ac:dyDescent="0.25">
      <c r="A414" s="24"/>
      <c r="L414" s="203"/>
      <c r="M414" s="65"/>
      <c r="N414" s="62"/>
      <c r="O414" s="70"/>
      <c r="P414" s="64"/>
    </row>
    <row r="415" spans="1:16" x14ac:dyDescent="0.25">
      <c r="A415" s="24"/>
      <c r="L415" s="203"/>
      <c r="M415" s="65"/>
      <c r="N415" s="62"/>
      <c r="O415" s="70"/>
      <c r="P415" s="64"/>
    </row>
    <row r="416" spans="1:16" x14ac:dyDescent="0.25">
      <c r="A416" s="24"/>
      <c r="L416" s="203"/>
      <c r="M416" s="65"/>
      <c r="N416" s="62"/>
      <c r="O416" s="70"/>
      <c r="P416" s="64"/>
    </row>
    <row r="417" spans="1:16" x14ac:dyDescent="0.25">
      <c r="A417" s="24"/>
      <c r="L417" s="203"/>
      <c r="M417" s="65"/>
      <c r="N417" s="62"/>
      <c r="O417" s="70"/>
      <c r="P417" s="64"/>
    </row>
    <row r="418" spans="1:16" x14ac:dyDescent="0.25">
      <c r="A418" s="24"/>
      <c r="L418" s="203"/>
      <c r="M418" s="65"/>
      <c r="N418" s="62"/>
      <c r="O418" s="70"/>
      <c r="P418" s="64"/>
    </row>
    <row r="419" spans="1:16" x14ac:dyDescent="0.25">
      <c r="A419" s="24"/>
      <c r="L419" s="203"/>
      <c r="M419" s="65"/>
      <c r="N419" s="62"/>
      <c r="O419" s="70"/>
      <c r="P419" s="64"/>
    </row>
    <row r="420" spans="1:16" x14ac:dyDescent="0.25">
      <c r="A420" s="24"/>
      <c r="L420" s="203"/>
      <c r="M420" s="65"/>
      <c r="N420" s="62"/>
      <c r="O420" s="70"/>
      <c r="P420" s="64"/>
    </row>
    <row r="421" spans="1:16" x14ac:dyDescent="0.25">
      <c r="A421" s="24"/>
      <c r="L421" s="203"/>
      <c r="M421" s="65"/>
      <c r="N421" s="62"/>
      <c r="O421" s="70"/>
      <c r="P421" s="64"/>
    </row>
    <row r="422" spans="1:16" x14ac:dyDescent="0.25">
      <c r="A422" s="24"/>
      <c r="L422" s="203"/>
      <c r="M422" s="65"/>
      <c r="N422" s="62"/>
      <c r="O422" s="70"/>
      <c r="P422" s="64"/>
    </row>
    <row r="423" spans="1:16" x14ac:dyDescent="0.25">
      <c r="A423" s="24"/>
      <c r="L423" s="203"/>
      <c r="M423" s="65"/>
      <c r="N423" s="62"/>
      <c r="O423" s="70"/>
      <c r="P423" s="64"/>
    </row>
    <row r="424" spans="1:16" x14ac:dyDescent="0.25">
      <c r="A424" s="24"/>
      <c r="L424" s="203"/>
      <c r="M424" s="65"/>
      <c r="N424" s="62"/>
      <c r="O424" s="70"/>
      <c r="P424" s="64"/>
    </row>
    <row r="425" spans="1:16" x14ac:dyDescent="0.25">
      <c r="A425" s="24"/>
      <c r="L425" s="203"/>
      <c r="M425" s="65"/>
      <c r="N425" s="62"/>
      <c r="O425" s="70"/>
      <c r="P425" s="64"/>
    </row>
    <row r="426" spans="1:16" x14ac:dyDescent="0.25">
      <c r="A426" s="24"/>
      <c r="L426" s="203"/>
      <c r="M426" s="65"/>
      <c r="N426" s="62"/>
      <c r="O426" s="70"/>
      <c r="P426" s="64"/>
    </row>
    <row r="427" spans="1:16" x14ac:dyDescent="0.25">
      <c r="A427" s="24"/>
      <c r="L427" s="203"/>
      <c r="M427" s="65"/>
      <c r="N427" s="62"/>
      <c r="O427" s="70"/>
      <c r="P427" s="64"/>
    </row>
    <row r="428" spans="1:16" x14ac:dyDescent="0.25">
      <c r="A428" s="24"/>
      <c r="L428" s="203"/>
      <c r="M428" s="65"/>
      <c r="N428" s="62"/>
      <c r="O428" s="70"/>
      <c r="P428" s="64"/>
    </row>
    <row r="429" spans="1:16" x14ac:dyDescent="0.25">
      <c r="A429" s="24"/>
      <c r="L429" s="203"/>
      <c r="M429" s="65"/>
      <c r="N429" s="62"/>
      <c r="O429" s="70"/>
      <c r="P429" s="64"/>
    </row>
    <row r="430" spans="1:16" x14ac:dyDescent="0.25">
      <c r="A430" s="24"/>
      <c r="L430" s="203"/>
      <c r="M430" s="65"/>
      <c r="N430" s="62"/>
      <c r="O430" s="70"/>
      <c r="P430" s="64"/>
    </row>
    <row r="431" spans="1:16" x14ac:dyDescent="0.25">
      <c r="A431" s="24"/>
      <c r="L431" s="203"/>
      <c r="M431" s="65"/>
      <c r="N431" s="62"/>
      <c r="O431" s="70"/>
      <c r="P431" s="64"/>
    </row>
    <row r="432" spans="1:16" x14ac:dyDescent="0.25">
      <c r="A432" s="24"/>
      <c r="L432" s="203"/>
      <c r="M432" s="65"/>
      <c r="N432" s="62"/>
      <c r="O432" s="70"/>
      <c r="P432" s="64"/>
    </row>
    <row r="433" spans="1:16" x14ac:dyDescent="0.25">
      <c r="A433" s="24"/>
      <c r="L433" s="203"/>
      <c r="M433" s="65"/>
      <c r="N433" s="62"/>
      <c r="O433" s="70"/>
      <c r="P433" s="64"/>
    </row>
    <row r="434" spans="1:16" x14ac:dyDescent="0.25">
      <c r="A434" s="24"/>
      <c r="L434" s="203"/>
      <c r="M434" s="65"/>
      <c r="N434" s="62"/>
      <c r="O434" s="70"/>
      <c r="P434" s="64"/>
    </row>
    <row r="435" spans="1:16" x14ac:dyDescent="0.25">
      <c r="A435" s="24"/>
      <c r="L435" s="203"/>
      <c r="M435" s="65"/>
      <c r="N435" s="62"/>
      <c r="O435" s="70"/>
      <c r="P435" s="64"/>
    </row>
    <row r="436" spans="1:16" x14ac:dyDescent="0.25">
      <c r="A436" s="24"/>
      <c r="L436" s="203"/>
      <c r="M436" s="65"/>
      <c r="N436" s="62"/>
      <c r="O436" s="70"/>
      <c r="P436" s="64"/>
    </row>
    <row r="437" spans="1:16" x14ac:dyDescent="0.25">
      <c r="A437" s="24"/>
      <c r="L437" s="203"/>
      <c r="M437" s="65"/>
      <c r="N437" s="62"/>
      <c r="O437" s="70"/>
      <c r="P437" s="64"/>
    </row>
    <row r="438" spans="1:16" x14ac:dyDescent="0.25">
      <c r="A438" s="24"/>
      <c r="L438" s="203"/>
      <c r="M438" s="65"/>
      <c r="N438" s="62"/>
      <c r="O438" s="70"/>
      <c r="P438" s="64"/>
    </row>
    <row r="439" spans="1:16" x14ac:dyDescent="0.25">
      <c r="A439" s="24"/>
      <c r="L439" s="203"/>
      <c r="M439" s="65"/>
      <c r="N439" s="62"/>
      <c r="O439" s="70"/>
      <c r="P439" s="64"/>
    </row>
    <row r="440" spans="1:16" x14ac:dyDescent="0.25">
      <c r="A440" s="24"/>
      <c r="L440" s="203"/>
      <c r="M440" s="65"/>
      <c r="N440" s="62"/>
      <c r="O440" s="70"/>
      <c r="P440" s="64"/>
    </row>
    <row r="441" spans="1:16" x14ac:dyDescent="0.25">
      <c r="A441" s="24"/>
      <c r="L441" s="203"/>
      <c r="M441" s="65"/>
      <c r="N441" s="62"/>
      <c r="O441" s="70"/>
      <c r="P441" s="64"/>
    </row>
    <row r="442" spans="1:16" x14ac:dyDescent="0.25">
      <c r="A442" s="24"/>
      <c r="L442" s="203"/>
      <c r="M442" s="65"/>
      <c r="N442" s="62"/>
      <c r="O442" s="70"/>
      <c r="P442" s="64"/>
    </row>
    <row r="443" spans="1:16" x14ac:dyDescent="0.25">
      <c r="A443" s="24"/>
      <c r="L443" s="203"/>
      <c r="M443" s="65"/>
      <c r="N443" s="62"/>
      <c r="O443" s="70"/>
      <c r="P443" s="64"/>
    </row>
    <row r="444" spans="1:16" x14ac:dyDescent="0.25">
      <c r="A444" s="24"/>
      <c r="L444" s="203"/>
      <c r="M444" s="65"/>
      <c r="N444" s="62"/>
      <c r="O444" s="70"/>
      <c r="P444" s="64"/>
    </row>
    <row r="445" spans="1:16" x14ac:dyDescent="0.25">
      <c r="A445" s="24"/>
      <c r="L445" s="203"/>
      <c r="M445" s="65"/>
      <c r="N445" s="62"/>
      <c r="O445" s="70"/>
      <c r="P445" s="64"/>
    </row>
    <row r="446" spans="1:16" x14ac:dyDescent="0.25">
      <c r="A446" s="24"/>
      <c r="L446" s="203"/>
      <c r="M446" s="65"/>
      <c r="N446" s="62"/>
      <c r="O446" s="70"/>
      <c r="P446" s="64"/>
    </row>
    <row r="447" spans="1:16" x14ac:dyDescent="0.25">
      <c r="A447" s="24"/>
      <c r="L447" s="203"/>
      <c r="M447" s="65"/>
      <c r="N447" s="62"/>
      <c r="O447" s="70"/>
      <c r="P447" s="64"/>
    </row>
    <row r="448" spans="1:16" x14ac:dyDescent="0.25">
      <c r="A448" s="24"/>
      <c r="L448" s="203"/>
      <c r="M448" s="65"/>
      <c r="N448" s="62"/>
      <c r="O448" s="70"/>
      <c r="P448" s="64"/>
    </row>
    <row r="449" spans="1:16" x14ac:dyDescent="0.25">
      <c r="A449" s="24"/>
      <c r="L449" s="203"/>
      <c r="M449" s="65"/>
      <c r="N449" s="62"/>
      <c r="O449" s="70"/>
      <c r="P449" s="64"/>
    </row>
    <row r="450" spans="1:16" x14ac:dyDescent="0.25">
      <c r="A450" s="24"/>
      <c r="L450" s="203"/>
      <c r="M450" s="65"/>
      <c r="N450" s="62"/>
      <c r="O450" s="70"/>
      <c r="P450" s="64"/>
    </row>
    <row r="451" spans="1:16" x14ac:dyDescent="0.25">
      <c r="A451" s="24"/>
      <c r="L451" s="203"/>
      <c r="M451" s="65"/>
      <c r="N451" s="62"/>
      <c r="O451" s="70"/>
      <c r="P451" s="64"/>
    </row>
    <row r="452" spans="1:16" x14ac:dyDescent="0.25">
      <c r="A452" s="24"/>
      <c r="L452" s="203"/>
      <c r="M452" s="65"/>
      <c r="N452" s="62"/>
      <c r="O452" s="70"/>
      <c r="P452" s="64"/>
    </row>
    <row r="453" spans="1:16" x14ac:dyDescent="0.25">
      <c r="A453" s="24"/>
      <c r="L453" s="203"/>
      <c r="M453" s="65"/>
      <c r="N453" s="62"/>
      <c r="O453" s="70"/>
      <c r="P453" s="64"/>
    </row>
    <row r="454" spans="1:16" x14ac:dyDescent="0.25">
      <c r="A454" s="24"/>
      <c r="L454" s="203"/>
      <c r="M454" s="65"/>
      <c r="N454" s="62"/>
      <c r="O454" s="70"/>
      <c r="P454" s="64"/>
    </row>
    <row r="455" spans="1:16" x14ac:dyDescent="0.25">
      <c r="A455" s="24"/>
      <c r="L455" s="203"/>
      <c r="M455" s="65"/>
      <c r="N455" s="62"/>
      <c r="O455" s="70"/>
      <c r="P455" s="64"/>
    </row>
    <row r="456" spans="1:16" x14ac:dyDescent="0.25">
      <c r="A456" s="24"/>
      <c r="L456" s="203"/>
      <c r="M456" s="65"/>
      <c r="N456" s="62"/>
      <c r="O456" s="70"/>
      <c r="P456" s="64"/>
    </row>
    <row r="457" spans="1:16" x14ac:dyDescent="0.25">
      <c r="A457" s="24"/>
      <c r="L457" s="203"/>
      <c r="M457" s="65"/>
      <c r="N457" s="62"/>
      <c r="O457" s="70"/>
      <c r="P457" s="64"/>
    </row>
    <row r="458" spans="1:16" x14ac:dyDescent="0.25">
      <c r="A458" s="24"/>
      <c r="L458" s="203"/>
      <c r="M458" s="65"/>
      <c r="N458" s="62"/>
      <c r="O458" s="70"/>
      <c r="P458" s="64"/>
    </row>
    <row r="459" spans="1:16" x14ac:dyDescent="0.25">
      <c r="A459" s="24"/>
      <c r="L459" s="203"/>
      <c r="M459" s="65"/>
      <c r="N459" s="62"/>
      <c r="O459" s="70"/>
      <c r="P459" s="64"/>
    </row>
    <row r="460" spans="1:16" x14ac:dyDescent="0.25">
      <c r="A460" s="24"/>
      <c r="L460" s="203"/>
      <c r="M460" s="65"/>
      <c r="N460" s="62"/>
      <c r="O460" s="70"/>
      <c r="P460" s="64"/>
    </row>
    <row r="461" spans="1:16" x14ac:dyDescent="0.25">
      <c r="A461" s="24"/>
      <c r="L461" s="203"/>
      <c r="M461" s="65"/>
      <c r="N461" s="62"/>
      <c r="O461" s="70"/>
      <c r="P461" s="64"/>
    </row>
    <row r="462" spans="1:16" x14ac:dyDescent="0.25">
      <c r="A462" s="24"/>
      <c r="L462" s="203"/>
      <c r="M462" s="65"/>
      <c r="N462" s="62"/>
      <c r="O462" s="70"/>
      <c r="P462" s="64"/>
    </row>
    <row r="463" spans="1:16" x14ac:dyDescent="0.25">
      <c r="A463" s="24"/>
      <c r="L463" s="203"/>
      <c r="M463" s="65"/>
      <c r="N463" s="62"/>
      <c r="O463" s="70"/>
      <c r="P463" s="64"/>
    </row>
    <row r="464" spans="1:16" x14ac:dyDescent="0.25">
      <c r="A464" s="24"/>
      <c r="L464" s="203"/>
      <c r="M464" s="65"/>
      <c r="N464" s="62"/>
      <c r="O464" s="70"/>
      <c r="P464" s="64"/>
    </row>
    <row r="465" spans="1:16" x14ac:dyDescent="0.25">
      <c r="A465" s="24"/>
      <c r="L465" s="203"/>
      <c r="M465" s="65"/>
      <c r="N465" s="62"/>
      <c r="O465" s="70"/>
      <c r="P465" s="64"/>
    </row>
    <row r="466" spans="1:16" x14ac:dyDescent="0.25">
      <c r="A466" s="24"/>
      <c r="L466" s="203"/>
      <c r="M466" s="65"/>
      <c r="N466" s="62"/>
      <c r="O466" s="70"/>
      <c r="P466" s="64"/>
    </row>
    <row r="467" spans="1:16" x14ac:dyDescent="0.25">
      <c r="A467" s="24"/>
      <c r="L467" s="203"/>
      <c r="M467" s="65"/>
      <c r="N467" s="62"/>
      <c r="O467" s="70"/>
      <c r="P467" s="64"/>
    </row>
    <row r="468" spans="1:16" x14ac:dyDescent="0.25">
      <c r="A468" s="24"/>
      <c r="L468" s="203"/>
      <c r="M468" s="65"/>
      <c r="N468" s="62"/>
      <c r="O468" s="70"/>
      <c r="P468" s="64"/>
    </row>
    <row r="469" spans="1:16" x14ac:dyDescent="0.25">
      <c r="A469" s="24"/>
      <c r="L469" s="203"/>
      <c r="M469" s="65"/>
      <c r="N469" s="62"/>
      <c r="O469" s="70"/>
      <c r="P469" s="64"/>
    </row>
    <row r="470" spans="1:16" x14ac:dyDescent="0.25">
      <c r="A470" s="24"/>
      <c r="L470" s="203"/>
      <c r="M470" s="65"/>
      <c r="N470" s="62"/>
      <c r="O470" s="70"/>
      <c r="P470" s="64"/>
    </row>
    <row r="471" spans="1:16" x14ac:dyDescent="0.25">
      <c r="A471" s="24"/>
      <c r="L471" s="203"/>
      <c r="M471" s="65"/>
      <c r="N471" s="62"/>
      <c r="O471" s="70"/>
      <c r="P471" s="64"/>
    </row>
    <row r="472" spans="1:16" x14ac:dyDescent="0.25">
      <c r="A472" s="24"/>
      <c r="L472" s="203"/>
      <c r="M472" s="65"/>
      <c r="N472" s="62"/>
      <c r="O472" s="70"/>
      <c r="P472" s="64"/>
    </row>
    <row r="473" spans="1:16" x14ac:dyDescent="0.25">
      <c r="A473" s="24"/>
      <c r="L473" s="203"/>
      <c r="M473" s="65"/>
      <c r="N473" s="62"/>
      <c r="O473" s="70"/>
      <c r="P473" s="64"/>
    </row>
    <row r="474" spans="1:16" x14ac:dyDescent="0.25">
      <c r="A474" s="24"/>
      <c r="L474" s="203"/>
      <c r="M474" s="65"/>
      <c r="N474" s="62"/>
      <c r="O474" s="70"/>
      <c r="P474" s="64"/>
    </row>
    <row r="475" spans="1:16" x14ac:dyDescent="0.25">
      <c r="A475" s="24"/>
      <c r="L475" s="203"/>
      <c r="M475" s="65"/>
      <c r="N475" s="62"/>
      <c r="O475" s="70"/>
      <c r="P475" s="64"/>
    </row>
    <row r="476" spans="1:16" x14ac:dyDescent="0.25">
      <c r="A476" s="24"/>
      <c r="L476" s="203"/>
      <c r="M476" s="65"/>
      <c r="N476" s="62"/>
      <c r="O476" s="70"/>
      <c r="P476" s="64"/>
    </row>
    <row r="477" spans="1:16" x14ac:dyDescent="0.25">
      <c r="A477" s="24"/>
      <c r="L477" s="203"/>
      <c r="M477" s="65"/>
      <c r="N477" s="62"/>
      <c r="O477" s="70"/>
      <c r="P477" s="64"/>
    </row>
    <row r="478" spans="1:16" x14ac:dyDescent="0.25">
      <c r="A478" s="24"/>
      <c r="L478" s="203"/>
      <c r="M478" s="65"/>
      <c r="N478" s="62"/>
      <c r="O478" s="70"/>
      <c r="P478" s="64"/>
    </row>
    <row r="479" spans="1:16" x14ac:dyDescent="0.25">
      <c r="A479" s="24"/>
      <c r="L479" s="203"/>
      <c r="M479" s="65"/>
      <c r="N479" s="62"/>
      <c r="O479" s="70"/>
      <c r="P479" s="64"/>
    </row>
    <row r="480" spans="1:16" x14ac:dyDescent="0.25">
      <c r="A480" s="24"/>
      <c r="L480" s="203"/>
      <c r="M480" s="65"/>
      <c r="N480" s="62"/>
      <c r="O480" s="70"/>
      <c r="P480" s="64"/>
    </row>
    <row r="481" spans="1:16" x14ac:dyDescent="0.25">
      <c r="A481" s="24"/>
      <c r="L481" s="203"/>
      <c r="M481" s="65"/>
      <c r="N481" s="62"/>
      <c r="O481" s="70"/>
      <c r="P481" s="64"/>
    </row>
    <row r="482" spans="1:16" x14ac:dyDescent="0.25">
      <c r="A482" s="24"/>
      <c r="L482" s="203"/>
      <c r="M482" s="65"/>
      <c r="N482" s="62"/>
      <c r="O482" s="70"/>
      <c r="P482" s="64"/>
    </row>
    <row r="483" spans="1:16" x14ac:dyDescent="0.25">
      <c r="A483" s="24"/>
      <c r="L483" s="203"/>
      <c r="M483" s="65"/>
      <c r="N483" s="62"/>
      <c r="O483" s="70"/>
      <c r="P483" s="64"/>
    </row>
    <row r="484" spans="1:16" x14ac:dyDescent="0.25">
      <c r="A484" s="24"/>
      <c r="L484" s="203"/>
      <c r="M484" s="65"/>
      <c r="N484" s="62"/>
      <c r="O484" s="70"/>
      <c r="P484" s="64"/>
    </row>
    <row r="485" spans="1:16" x14ac:dyDescent="0.25">
      <c r="A485" s="24"/>
      <c r="L485" s="203"/>
      <c r="M485" s="65"/>
      <c r="N485" s="62"/>
      <c r="O485" s="70"/>
      <c r="P485" s="64"/>
    </row>
    <row r="486" spans="1:16" x14ac:dyDescent="0.25">
      <c r="A486" s="24"/>
      <c r="L486" s="203"/>
      <c r="M486" s="65"/>
      <c r="N486" s="62"/>
      <c r="O486" s="70"/>
      <c r="P486" s="64"/>
    </row>
    <row r="487" spans="1:16" x14ac:dyDescent="0.25">
      <c r="A487" s="24"/>
      <c r="L487" s="203"/>
      <c r="M487" s="65"/>
      <c r="N487" s="62"/>
      <c r="O487" s="70"/>
      <c r="P487" s="64"/>
    </row>
    <row r="488" spans="1:16" x14ac:dyDescent="0.25">
      <c r="A488" s="24"/>
      <c r="L488" s="203"/>
      <c r="M488" s="65"/>
      <c r="N488" s="62"/>
      <c r="O488" s="70"/>
      <c r="P488" s="64"/>
    </row>
    <row r="489" spans="1:16" x14ac:dyDescent="0.25">
      <c r="A489" s="24"/>
      <c r="L489" s="203"/>
      <c r="M489" s="65"/>
      <c r="N489" s="62"/>
      <c r="O489" s="70"/>
      <c r="P489" s="64"/>
    </row>
    <row r="490" spans="1:16" x14ac:dyDescent="0.25">
      <c r="A490" s="24"/>
      <c r="L490" s="203"/>
      <c r="M490" s="65"/>
      <c r="N490" s="62"/>
      <c r="O490" s="70"/>
      <c r="P490" s="64"/>
    </row>
    <row r="491" spans="1:16" x14ac:dyDescent="0.25">
      <c r="A491" s="24"/>
      <c r="L491" s="203"/>
      <c r="M491" s="65"/>
      <c r="N491" s="62"/>
      <c r="O491" s="70"/>
      <c r="P491" s="64"/>
    </row>
    <row r="492" spans="1:16" x14ac:dyDescent="0.25">
      <c r="A492" s="24"/>
      <c r="L492" s="203"/>
      <c r="M492" s="65"/>
      <c r="N492" s="62"/>
      <c r="O492" s="70"/>
      <c r="P492" s="64"/>
    </row>
    <row r="493" spans="1:16" x14ac:dyDescent="0.25">
      <c r="A493" s="24"/>
      <c r="L493" s="203"/>
      <c r="M493" s="65"/>
      <c r="N493" s="62"/>
      <c r="O493" s="70"/>
      <c r="P493" s="64"/>
    </row>
    <row r="494" spans="1:16" x14ac:dyDescent="0.25">
      <c r="A494" s="24"/>
      <c r="L494" s="203"/>
      <c r="M494" s="65"/>
      <c r="N494" s="62"/>
      <c r="O494" s="70"/>
      <c r="P494" s="64"/>
    </row>
    <row r="495" spans="1:16" x14ac:dyDescent="0.25">
      <c r="A495" s="24"/>
      <c r="L495" s="203"/>
      <c r="M495" s="65"/>
      <c r="N495" s="62"/>
      <c r="O495" s="70"/>
      <c r="P495" s="64"/>
    </row>
    <row r="496" spans="1:16" x14ac:dyDescent="0.25">
      <c r="A496" s="24"/>
      <c r="L496" s="203"/>
      <c r="M496" s="65"/>
      <c r="N496" s="62"/>
      <c r="O496" s="70"/>
      <c r="P496" s="64"/>
    </row>
    <row r="497" spans="1:16" x14ac:dyDescent="0.25">
      <c r="A497" s="24"/>
      <c r="L497" s="203"/>
      <c r="M497" s="65"/>
      <c r="N497" s="62"/>
      <c r="O497" s="70"/>
      <c r="P497" s="64"/>
    </row>
    <row r="498" spans="1:16" x14ac:dyDescent="0.25">
      <c r="A498" s="24"/>
      <c r="L498" s="203"/>
      <c r="M498" s="65"/>
      <c r="N498" s="62"/>
      <c r="O498" s="70"/>
      <c r="P498" s="64"/>
    </row>
    <row r="499" spans="1:16" x14ac:dyDescent="0.25">
      <c r="A499" s="24"/>
      <c r="L499" s="203"/>
      <c r="M499" s="65"/>
      <c r="N499" s="62"/>
      <c r="O499" s="70"/>
      <c r="P499" s="64"/>
    </row>
    <row r="500" spans="1:16" x14ac:dyDescent="0.25">
      <c r="A500" s="24"/>
      <c r="L500" s="203"/>
      <c r="M500" s="65"/>
      <c r="N500" s="62"/>
      <c r="O500" s="70"/>
      <c r="P500" s="64"/>
    </row>
    <row r="501" spans="1:16" x14ac:dyDescent="0.25">
      <c r="A501" s="24"/>
      <c r="L501" s="203"/>
      <c r="M501" s="65"/>
      <c r="N501" s="62"/>
      <c r="O501" s="70"/>
      <c r="P501" s="64"/>
    </row>
    <row r="502" spans="1:16" x14ac:dyDescent="0.25">
      <c r="A502" s="24"/>
      <c r="L502" s="203"/>
      <c r="M502" s="65"/>
      <c r="N502" s="62"/>
      <c r="O502" s="70"/>
      <c r="P502" s="64"/>
    </row>
    <row r="503" spans="1:16" x14ac:dyDescent="0.25">
      <c r="A503" s="24"/>
      <c r="L503" s="203"/>
      <c r="M503" s="65"/>
      <c r="N503" s="62"/>
      <c r="O503" s="70"/>
      <c r="P503" s="64"/>
    </row>
    <row r="504" spans="1:16" x14ac:dyDescent="0.25">
      <c r="A504" s="24"/>
      <c r="L504" s="203"/>
      <c r="M504" s="65"/>
      <c r="N504" s="62"/>
      <c r="O504" s="70"/>
      <c r="P504" s="64"/>
    </row>
    <row r="505" spans="1:16" x14ac:dyDescent="0.25">
      <c r="A505" s="24"/>
      <c r="L505" s="203"/>
      <c r="M505" s="65"/>
      <c r="N505" s="62"/>
      <c r="O505" s="70"/>
      <c r="P505" s="64"/>
    </row>
    <row r="506" spans="1:16" x14ac:dyDescent="0.25">
      <c r="A506" s="24"/>
      <c r="L506" s="203"/>
      <c r="M506" s="65"/>
      <c r="N506" s="62"/>
      <c r="O506" s="70"/>
      <c r="P506" s="64"/>
    </row>
    <row r="507" spans="1:16" x14ac:dyDescent="0.25">
      <c r="A507" s="24"/>
      <c r="L507" s="203"/>
      <c r="M507" s="65"/>
      <c r="N507" s="62"/>
      <c r="O507" s="70"/>
      <c r="P507" s="64"/>
    </row>
    <row r="508" spans="1:16" x14ac:dyDescent="0.25">
      <c r="A508" s="24"/>
      <c r="L508" s="203"/>
      <c r="M508" s="65"/>
      <c r="N508" s="62"/>
      <c r="O508" s="70"/>
      <c r="P508" s="64"/>
    </row>
    <row r="509" spans="1:16" x14ac:dyDescent="0.25">
      <c r="A509" s="24"/>
      <c r="L509" s="203"/>
      <c r="M509" s="65"/>
      <c r="N509" s="62"/>
      <c r="O509" s="70"/>
      <c r="P509" s="64"/>
    </row>
    <row r="510" spans="1:16" x14ac:dyDescent="0.25">
      <c r="A510" s="24"/>
      <c r="L510" s="203"/>
      <c r="M510" s="65"/>
      <c r="N510" s="62"/>
      <c r="O510" s="70"/>
      <c r="P510" s="64"/>
    </row>
    <row r="511" spans="1:16" x14ac:dyDescent="0.25">
      <c r="A511" s="24"/>
      <c r="L511" s="203"/>
      <c r="M511" s="65"/>
      <c r="N511" s="62"/>
      <c r="O511" s="70"/>
      <c r="P511" s="64"/>
    </row>
    <row r="512" spans="1:16" x14ac:dyDescent="0.25">
      <c r="A512" s="24"/>
      <c r="L512" s="203"/>
      <c r="M512" s="65"/>
      <c r="N512" s="62"/>
      <c r="O512" s="70"/>
      <c r="P512" s="64"/>
    </row>
    <row r="513" spans="1:16" x14ac:dyDescent="0.25">
      <c r="A513" s="24"/>
      <c r="L513" s="203"/>
      <c r="M513" s="65"/>
      <c r="N513" s="62"/>
      <c r="O513" s="70"/>
      <c r="P513" s="64"/>
    </row>
    <row r="514" spans="1:16" x14ac:dyDescent="0.25">
      <c r="A514" s="24"/>
      <c r="L514" s="203"/>
      <c r="M514" s="65"/>
      <c r="N514" s="62"/>
      <c r="O514" s="70"/>
      <c r="P514" s="64"/>
    </row>
    <row r="515" spans="1:16" x14ac:dyDescent="0.25">
      <c r="A515" s="24"/>
      <c r="L515" s="203"/>
      <c r="M515" s="65"/>
      <c r="N515" s="62"/>
      <c r="O515" s="70"/>
      <c r="P515" s="64"/>
    </row>
    <row r="516" spans="1:16" x14ac:dyDescent="0.25">
      <c r="A516" s="24"/>
      <c r="L516" s="203"/>
      <c r="M516" s="65"/>
      <c r="N516" s="62"/>
      <c r="O516" s="70"/>
      <c r="P516" s="64"/>
    </row>
    <row r="517" spans="1:16" x14ac:dyDescent="0.25">
      <c r="A517" s="24"/>
      <c r="L517" s="203"/>
      <c r="M517" s="65"/>
      <c r="N517" s="62"/>
      <c r="O517" s="70"/>
      <c r="P517" s="64"/>
    </row>
    <row r="518" spans="1:16" x14ac:dyDescent="0.25">
      <c r="A518" s="24"/>
      <c r="L518" s="203"/>
      <c r="M518" s="65"/>
      <c r="N518" s="62"/>
      <c r="O518" s="70"/>
      <c r="P518" s="64"/>
    </row>
    <row r="519" spans="1:16" x14ac:dyDescent="0.25">
      <c r="A519" s="24"/>
      <c r="L519" s="203"/>
      <c r="M519" s="65"/>
      <c r="N519" s="62"/>
      <c r="O519" s="70"/>
      <c r="P519" s="64"/>
    </row>
    <row r="520" spans="1:16" x14ac:dyDescent="0.25">
      <c r="A520" s="24"/>
      <c r="L520" s="203"/>
      <c r="M520" s="65"/>
      <c r="N520" s="62"/>
      <c r="O520" s="70"/>
      <c r="P520" s="64"/>
    </row>
    <row r="521" spans="1:16" x14ac:dyDescent="0.25">
      <c r="A521" s="24"/>
      <c r="L521" s="203"/>
      <c r="M521" s="65"/>
      <c r="N521" s="62"/>
      <c r="O521" s="70"/>
      <c r="P521" s="64"/>
    </row>
    <row r="522" spans="1:16" x14ac:dyDescent="0.25">
      <c r="A522" s="24"/>
      <c r="L522" s="203"/>
      <c r="M522" s="65"/>
      <c r="N522" s="62"/>
      <c r="O522" s="70"/>
      <c r="P522" s="64"/>
    </row>
    <row r="523" spans="1:16" x14ac:dyDescent="0.25">
      <c r="A523" s="24"/>
      <c r="L523" s="203"/>
      <c r="M523" s="65"/>
      <c r="N523" s="62"/>
      <c r="O523" s="70"/>
      <c r="P523" s="64"/>
    </row>
    <row r="524" spans="1:16" x14ac:dyDescent="0.25">
      <c r="A524" s="24"/>
      <c r="L524" s="203"/>
      <c r="M524" s="65"/>
      <c r="N524" s="62"/>
      <c r="O524" s="70"/>
      <c r="P524" s="64"/>
    </row>
    <row r="525" spans="1:16" x14ac:dyDescent="0.25">
      <c r="A525" s="24"/>
      <c r="L525" s="203"/>
      <c r="M525" s="65"/>
      <c r="N525" s="62"/>
      <c r="O525" s="70"/>
      <c r="P525" s="64"/>
    </row>
    <row r="526" spans="1:16" x14ac:dyDescent="0.25">
      <c r="A526" s="24"/>
      <c r="L526" s="203"/>
      <c r="M526" s="65"/>
      <c r="N526" s="62"/>
      <c r="O526" s="70"/>
      <c r="P526" s="64"/>
    </row>
    <row r="527" spans="1:16" x14ac:dyDescent="0.25">
      <c r="A527" s="24"/>
      <c r="L527" s="203"/>
      <c r="M527" s="65"/>
      <c r="N527" s="62"/>
      <c r="O527" s="70"/>
      <c r="P527" s="64"/>
    </row>
    <row r="528" spans="1:16" x14ac:dyDescent="0.25">
      <c r="A528" s="24"/>
      <c r="L528" s="203"/>
      <c r="M528" s="65"/>
      <c r="N528" s="62"/>
      <c r="O528" s="70"/>
      <c r="P528" s="64"/>
    </row>
    <row r="529" spans="1:16" x14ac:dyDescent="0.25">
      <c r="A529" s="24"/>
      <c r="L529" s="203"/>
      <c r="M529" s="65"/>
      <c r="N529" s="62"/>
      <c r="O529" s="70"/>
      <c r="P529" s="64"/>
    </row>
    <row r="530" spans="1:16" x14ac:dyDescent="0.25">
      <c r="A530" s="24"/>
      <c r="L530" s="203"/>
      <c r="M530" s="65"/>
      <c r="N530" s="62"/>
      <c r="O530" s="70"/>
      <c r="P530" s="64"/>
    </row>
    <row r="531" spans="1:16" x14ac:dyDescent="0.25">
      <c r="A531" s="24"/>
      <c r="L531" s="203"/>
      <c r="M531" s="65"/>
      <c r="N531" s="62"/>
      <c r="O531" s="70"/>
      <c r="P531" s="64"/>
    </row>
    <row r="532" spans="1:16" x14ac:dyDescent="0.25">
      <c r="A532" s="24"/>
      <c r="L532" s="203"/>
      <c r="M532" s="65"/>
      <c r="N532" s="62"/>
      <c r="O532" s="70"/>
      <c r="P532" s="64"/>
    </row>
    <row r="533" spans="1:16" x14ac:dyDescent="0.25">
      <c r="A533" s="24"/>
      <c r="L533" s="203"/>
      <c r="M533" s="65"/>
      <c r="N533" s="62"/>
      <c r="O533" s="70"/>
      <c r="P533" s="64"/>
    </row>
    <row r="534" spans="1:16" x14ac:dyDescent="0.25">
      <c r="A534" s="24"/>
      <c r="L534" s="203"/>
      <c r="M534" s="65"/>
      <c r="N534" s="62"/>
      <c r="O534" s="70"/>
      <c r="P534" s="64"/>
    </row>
    <row r="535" spans="1:16" x14ac:dyDescent="0.25">
      <c r="A535" s="24"/>
      <c r="L535" s="203"/>
      <c r="M535" s="65"/>
      <c r="N535" s="62"/>
      <c r="O535" s="70"/>
      <c r="P535" s="64"/>
    </row>
    <row r="536" spans="1:16" x14ac:dyDescent="0.25">
      <c r="A536" s="24"/>
      <c r="L536" s="203"/>
      <c r="M536" s="65"/>
      <c r="N536" s="62"/>
      <c r="O536" s="70"/>
      <c r="P536" s="64"/>
    </row>
    <row r="537" spans="1:16" x14ac:dyDescent="0.25">
      <c r="A537" s="24"/>
      <c r="L537" s="203"/>
      <c r="M537" s="65"/>
      <c r="N537" s="62"/>
      <c r="O537" s="70"/>
      <c r="P537" s="64"/>
    </row>
    <row r="538" spans="1:16" x14ac:dyDescent="0.25">
      <c r="A538" s="24"/>
      <c r="L538" s="203"/>
      <c r="M538" s="65"/>
      <c r="N538" s="62"/>
      <c r="O538" s="70"/>
      <c r="P538" s="64"/>
    </row>
    <row r="539" spans="1:16" x14ac:dyDescent="0.25">
      <c r="A539" s="24"/>
      <c r="L539" s="203"/>
      <c r="M539" s="65"/>
      <c r="N539" s="62"/>
      <c r="O539" s="70"/>
      <c r="P539" s="64"/>
    </row>
    <row r="540" spans="1:16" x14ac:dyDescent="0.25">
      <c r="A540" s="24"/>
      <c r="L540" s="203"/>
      <c r="M540" s="65"/>
      <c r="N540" s="62"/>
      <c r="O540" s="70"/>
      <c r="P540" s="64"/>
    </row>
    <row r="541" spans="1:16" x14ac:dyDescent="0.25">
      <c r="A541" s="24"/>
      <c r="L541" s="203"/>
      <c r="M541" s="65"/>
      <c r="N541" s="62"/>
      <c r="O541" s="70"/>
      <c r="P541" s="64"/>
    </row>
    <row r="542" spans="1:16" x14ac:dyDescent="0.25">
      <c r="A542" s="24"/>
      <c r="L542" s="203"/>
      <c r="M542" s="65"/>
      <c r="N542" s="62"/>
      <c r="O542" s="70"/>
      <c r="P542" s="64"/>
    </row>
    <row r="543" spans="1:16" x14ac:dyDescent="0.25">
      <c r="A543" s="24"/>
      <c r="L543" s="203"/>
      <c r="M543" s="65"/>
      <c r="N543" s="62"/>
      <c r="O543" s="70"/>
      <c r="P543" s="64"/>
    </row>
    <row r="544" spans="1:16" x14ac:dyDescent="0.25">
      <c r="A544" s="24"/>
      <c r="L544" s="203"/>
      <c r="M544" s="65"/>
      <c r="N544" s="62"/>
      <c r="O544" s="70"/>
      <c r="P544" s="64"/>
    </row>
    <row r="545" spans="1:16" x14ac:dyDescent="0.25">
      <c r="A545" s="24"/>
      <c r="L545" s="203"/>
      <c r="M545" s="65"/>
      <c r="N545" s="62"/>
      <c r="O545" s="70"/>
      <c r="P545" s="64"/>
    </row>
    <row r="546" spans="1:16" x14ac:dyDescent="0.25">
      <c r="A546" s="24"/>
      <c r="L546" s="203"/>
      <c r="M546" s="65"/>
      <c r="N546" s="62"/>
      <c r="O546" s="70"/>
      <c r="P546" s="64"/>
    </row>
    <row r="547" spans="1:16" x14ac:dyDescent="0.25">
      <c r="A547" s="24"/>
      <c r="L547" s="203"/>
      <c r="M547" s="65"/>
      <c r="N547" s="62"/>
      <c r="O547" s="70"/>
      <c r="P547" s="64"/>
    </row>
    <row r="548" spans="1:16" x14ac:dyDescent="0.25">
      <c r="A548" s="24"/>
      <c r="L548" s="203"/>
      <c r="M548" s="65"/>
      <c r="N548" s="62"/>
      <c r="O548" s="70"/>
      <c r="P548" s="64"/>
    </row>
    <row r="549" spans="1:16" x14ac:dyDescent="0.25">
      <c r="A549" s="24"/>
      <c r="L549" s="203"/>
      <c r="M549" s="65"/>
      <c r="N549" s="62"/>
      <c r="O549" s="70"/>
      <c r="P549" s="64"/>
    </row>
    <row r="550" spans="1:16" x14ac:dyDescent="0.25">
      <c r="A550" s="24"/>
      <c r="L550" s="203"/>
      <c r="M550" s="65"/>
      <c r="N550" s="62"/>
      <c r="O550" s="70"/>
      <c r="P550" s="64"/>
    </row>
    <row r="551" spans="1:16" x14ac:dyDescent="0.25">
      <c r="A551" s="24"/>
      <c r="L551" s="203"/>
      <c r="M551" s="65"/>
      <c r="N551" s="62"/>
      <c r="O551" s="70"/>
      <c r="P551" s="64"/>
    </row>
    <row r="552" spans="1:16" x14ac:dyDescent="0.25">
      <c r="A552" s="24"/>
      <c r="L552" s="203"/>
      <c r="M552" s="65"/>
      <c r="N552" s="62"/>
      <c r="O552" s="70"/>
      <c r="P552" s="64"/>
    </row>
    <row r="553" spans="1:16" x14ac:dyDescent="0.25">
      <c r="A553" s="24"/>
      <c r="L553" s="203"/>
      <c r="M553" s="65"/>
      <c r="N553" s="62"/>
      <c r="O553" s="70"/>
      <c r="P553" s="64"/>
    </row>
    <row r="554" spans="1:16" x14ac:dyDescent="0.25">
      <c r="A554" s="24"/>
      <c r="L554" s="203"/>
      <c r="M554" s="65"/>
      <c r="N554" s="62"/>
      <c r="O554" s="70"/>
      <c r="P554" s="64"/>
    </row>
    <row r="555" spans="1:16" x14ac:dyDescent="0.25">
      <c r="A555" s="24"/>
      <c r="L555" s="203"/>
      <c r="M555" s="65"/>
      <c r="N555" s="62"/>
      <c r="O555" s="70"/>
      <c r="P555" s="64"/>
    </row>
    <row r="556" spans="1:16" x14ac:dyDescent="0.25">
      <c r="A556" s="24"/>
      <c r="L556" s="203"/>
      <c r="M556" s="65"/>
      <c r="N556" s="62"/>
      <c r="O556" s="70"/>
      <c r="P556" s="64"/>
    </row>
    <row r="557" spans="1:16" x14ac:dyDescent="0.25">
      <c r="A557" s="24"/>
      <c r="L557" s="203"/>
      <c r="M557" s="65"/>
      <c r="N557" s="62"/>
      <c r="O557" s="70"/>
      <c r="P557" s="64"/>
    </row>
    <row r="558" spans="1:16" x14ac:dyDescent="0.25">
      <c r="A558" s="24"/>
      <c r="L558" s="203"/>
      <c r="M558" s="65"/>
      <c r="N558" s="62"/>
      <c r="O558" s="70"/>
      <c r="P558" s="64"/>
    </row>
    <row r="559" spans="1:16" x14ac:dyDescent="0.25">
      <c r="A559" s="24"/>
      <c r="L559" s="203"/>
      <c r="M559" s="65"/>
      <c r="N559" s="62"/>
      <c r="O559" s="70"/>
      <c r="P559" s="64"/>
    </row>
    <row r="560" spans="1:16" x14ac:dyDescent="0.25">
      <c r="A560" s="24"/>
      <c r="L560" s="203"/>
      <c r="M560" s="65"/>
      <c r="N560" s="62"/>
      <c r="O560" s="70"/>
      <c r="P560" s="64"/>
    </row>
    <row r="561" spans="1:16" x14ac:dyDescent="0.25">
      <c r="A561" s="24"/>
      <c r="L561" s="203"/>
      <c r="M561" s="65"/>
      <c r="N561" s="62"/>
      <c r="O561" s="70"/>
      <c r="P561" s="64"/>
    </row>
    <row r="562" spans="1:16" x14ac:dyDescent="0.25">
      <c r="A562" s="24"/>
      <c r="L562" s="203"/>
      <c r="M562" s="65"/>
      <c r="N562" s="62"/>
      <c r="O562" s="70"/>
      <c r="P562" s="64"/>
    </row>
    <row r="563" spans="1:16" x14ac:dyDescent="0.25">
      <c r="A563" s="24"/>
      <c r="L563" s="203"/>
      <c r="M563" s="65"/>
      <c r="N563" s="62"/>
      <c r="O563" s="70"/>
      <c r="P563" s="64"/>
    </row>
    <row r="564" spans="1:16" x14ac:dyDescent="0.25">
      <c r="A564" s="24"/>
      <c r="L564" s="203"/>
      <c r="M564" s="65"/>
      <c r="N564" s="62"/>
      <c r="O564" s="70"/>
      <c r="P564" s="64"/>
    </row>
    <row r="565" spans="1:16" x14ac:dyDescent="0.25">
      <c r="A565" s="24"/>
      <c r="L565" s="203"/>
      <c r="M565" s="65"/>
      <c r="N565" s="62"/>
      <c r="O565" s="70"/>
      <c r="P565" s="64"/>
    </row>
    <row r="566" spans="1:16" x14ac:dyDescent="0.25">
      <c r="A566" s="24"/>
      <c r="L566" s="203"/>
      <c r="M566" s="65"/>
      <c r="N566" s="62"/>
      <c r="O566" s="70"/>
      <c r="P566" s="64"/>
    </row>
    <row r="567" spans="1:16" x14ac:dyDescent="0.25">
      <c r="A567" s="24"/>
      <c r="L567" s="203"/>
      <c r="M567" s="65"/>
      <c r="N567" s="62"/>
      <c r="O567" s="70"/>
      <c r="P567" s="64"/>
    </row>
    <row r="568" spans="1:16" x14ac:dyDescent="0.25">
      <c r="A568" s="24"/>
      <c r="L568" s="203"/>
      <c r="M568" s="65"/>
      <c r="N568" s="62"/>
      <c r="O568" s="70"/>
      <c r="P568" s="64"/>
    </row>
    <row r="569" spans="1:16" x14ac:dyDescent="0.25">
      <c r="A569" s="24"/>
      <c r="L569" s="203"/>
      <c r="M569" s="65"/>
      <c r="N569" s="62"/>
      <c r="O569" s="70"/>
      <c r="P569" s="64"/>
    </row>
    <row r="570" spans="1:16" x14ac:dyDescent="0.25">
      <c r="A570" s="24"/>
      <c r="L570" s="203"/>
      <c r="M570" s="65"/>
      <c r="N570" s="62"/>
      <c r="O570" s="70"/>
      <c r="P570" s="64"/>
    </row>
    <row r="571" spans="1:16" x14ac:dyDescent="0.25">
      <c r="A571" s="24"/>
      <c r="L571" s="203"/>
      <c r="M571" s="65"/>
      <c r="N571" s="62"/>
      <c r="O571" s="70"/>
      <c r="P571" s="64"/>
    </row>
    <row r="572" spans="1:16" x14ac:dyDescent="0.25">
      <c r="A572" s="24"/>
      <c r="L572" s="203"/>
      <c r="M572" s="65"/>
      <c r="N572" s="62"/>
      <c r="O572" s="70"/>
      <c r="P572" s="64"/>
    </row>
    <row r="573" spans="1:16" x14ac:dyDescent="0.25">
      <c r="A573" s="24"/>
      <c r="L573" s="203"/>
      <c r="M573" s="65"/>
      <c r="N573" s="62"/>
      <c r="O573" s="70"/>
      <c r="P573" s="64"/>
    </row>
    <row r="574" spans="1:16" x14ac:dyDescent="0.25">
      <c r="A574" s="24"/>
      <c r="L574" s="203"/>
      <c r="M574" s="65"/>
      <c r="N574" s="62"/>
      <c r="O574" s="70"/>
      <c r="P574" s="64"/>
    </row>
    <row r="575" spans="1:16" x14ac:dyDescent="0.25">
      <c r="A575" s="24"/>
      <c r="L575" s="203"/>
      <c r="M575" s="65"/>
      <c r="N575" s="62"/>
      <c r="O575" s="70"/>
      <c r="P575" s="64"/>
    </row>
    <row r="576" spans="1:16" x14ac:dyDescent="0.25">
      <c r="A576" s="24"/>
      <c r="L576" s="203"/>
      <c r="M576" s="65"/>
      <c r="N576" s="62"/>
      <c r="O576" s="70"/>
      <c r="P576" s="64"/>
    </row>
    <row r="577" spans="1:16" x14ac:dyDescent="0.25">
      <c r="A577" s="24"/>
      <c r="L577" s="203"/>
      <c r="M577" s="65"/>
      <c r="N577" s="62"/>
      <c r="O577" s="70"/>
      <c r="P577" s="64"/>
    </row>
    <row r="578" spans="1:16" x14ac:dyDescent="0.25">
      <c r="A578" s="24"/>
      <c r="L578" s="203"/>
      <c r="M578" s="65"/>
      <c r="N578" s="62"/>
      <c r="O578" s="70"/>
      <c r="P578" s="64"/>
    </row>
    <row r="579" spans="1:16" x14ac:dyDescent="0.25">
      <c r="A579" s="24"/>
      <c r="L579" s="203"/>
      <c r="M579" s="65"/>
      <c r="N579" s="62"/>
      <c r="O579" s="70"/>
      <c r="P579" s="64"/>
    </row>
    <row r="580" spans="1:16" x14ac:dyDescent="0.25">
      <c r="A580" s="24"/>
      <c r="L580" s="203"/>
      <c r="M580" s="65"/>
      <c r="N580" s="62"/>
      <c r="O580" s="70"/>
      <c r="P580" s="64"/>
    </row>
    <row r="581" spans="1:16" x14ac:dyDescent="0.25">
      <c r="A581" s="24"/>
      <c r="L581" s="203"/>
      <c r="M581" s="65"/>
      <c r="N581" s="62"/>
      <c r="O581" s="70"/>
      <c r="P581" s="64"/>
    </row>
    <row r="582" spans="1:16" x14ac:dyDescent="0.25">
      <c r="A582" s="24"/>
      <c r="L582" s="203"/>
      <c r="M582" s="65"/>
      <c r="N582" s="62"/>
      <c r="O582" s="70"/>
      <c r="P582" s="64"/>
    </row>
    <row r="583" spans="1:16" x14ac:dyDescent="0.25">
      <c r="A583" s="24"/>
      <c r="L583" s="203"/>
      <c r="M583" s="65"/>
      <c r="N583" s="62"/>
      <c r="O583" s="70"/>
      <c r="P583" s="64"/>
    </row>
    <row r="584" spans="1:16" x14ac:dyDescent="0.25">
      <c r="A584" s="24"/>
      <c r="L584" s="203"/>
      <c r="M584" s="65"/>
      <c r="N584" s="62"/>
      <c r="O584" s="70"/>
      <c r="P584" s="64"/>
    </row>
    <row r="585" spans="1:16" x14ac:dyDescent="0.25">
      <c r="A585" s="24"/>
      <c r="L585" s="203"/>
      <c r="M585" s="65"/>
      <c r="N585" s="62"/>
      <c r="O585" s="70"/>
      <c r="P585" s="64"/>
    </row>
    <row r="586" spans="1:16" x14ac:dyDescent="0.25">
      <c r="A586" s="24"/>
      <c r="L586" s="203"/>
      <c r="M586" s="65"/>
      <c r="N586" s="62"/>
      <c r="O586" s="70"/>
      <c r="P586" s="64"/>
    </row>
    <row r="587" spans="1:16" x14ac:dyDescent="0.25">
      <c r="A587" s="24"/>
      <c r="L587" s="203"/>
      <c r="M587" s="65"/>
      <c r="N587" s="62"/>
      <c r="O587" s="70"/>
      <c r="P587" s="64"/>
    </row>
    <row r="588" spans="1:16" x14ac:dyDescent="0.25">
      <c r="A588" s="24"/>
      <c r="L588" s="203"/>
      <c r="M588" s="65"/>
      <c r="N588" s="62"/>
      <c r="O588" s="70"/>
      <c r="P588" s="64"/>
    </row>
    <row r="589" spans="1:16" x14ac:dyDescent="0.25">
      <c r="A589" s="24"/>
      <c r="L589" s="203"/>
      <c r="M589" s="65"/>
      <c r="N589" s="62"/>
      <c r="O589" s="70"/>
      <c r="P589" s="64"/>
    </row>
    <row r="590" spans="1:16" x14ac:dyDescent="0.25">
      <c r="A590" s="24"/>
      <c r="L590" s="203"/>
      <c r="M590" s="65"/>
      <c r="N590" s="62"/>
      <c r="O590" s="70"/>
      <c r="P590" s="64"/>
    </row>
    <row r="591" spans="1:16" x14ac:dyDescent="0.25">
      <c r="A591" s="24"/>
      <c r="L591" s="203"/>
      <c r="M591" s="65"/>
      <c r="N591" s="62"/>
      <c r="O591" s="70"/>
      <c r="P591" s="64"/>
    </row>
    <row r="592" spans="1:16" x14ac:dyDescent="0.25">
      <c r="A592" s="24"/>
      <c r="L592" s="203"/>
      <c r="M592" s="65"/>
      <c r="N592" s="62"/>
      <c r="O592" s="70"/>
      <c r="P592" s="64"/>
    </row>
    <row r="593" spans="1:16" x14ac:dyDescent="0.25">
      <c r="A593" s="24"/>
      <c r="L593" s="203"/>
      <c r="M593" s="65"/>
      <c r="N593" s="62"/>
      <c r="O593" s="70"/>
      <c r="P593" s="64"/>
    </row>
    <row r="594" spans="1:16" x14ac:dyDescent="0.25">
      <c r="A594" s="24"/>
      <c r="L594" s="203"/>
      <c r="M594" s="65"/>
      <c r="N594" s="62"/>
      <c r="O594" s="70"/>
      <c r="P594" s="64"/>
    </row>
    <row r="595" spans="1:16" x14ac:dyDescent="0.25">
      <c r="A595" s="24"/>
      <c r="L595" s="203"/>
      <c r="M595" s="65"/>
      <c r="N595" s="62"/>
      <c r="O595" s="70"/>
      <c r="P595" s="64"/>
    </row>
    <row r="596" spans="1:16" x14ac:dyDescent="0.25">
      <c r="A596" s="24"/>
      <c r="L596" s="203"/>
      <c r="M596" s="65"/>
      <c r="N596" s="62"/>
      <c r="O596" s="70"/>
      <c r="P596" s="64"/>
    </row>
    <row r="597" spans="1:16" x14ac:dyDescent="0.25">
      <c r="A597" s="24"/>
      <c r="L597" s="203"/>
      <c r="M597" s="65"/>
      <c r="N597" s="62"/>
      <c r="O597" s="70"/>
      <c r="P597" s="64"/>
    </row>
    <row r="598" spans="1:16" x14ac:dyDescent="0.25">
      <c r="A598" s="24"/>
      <c r="L598" s="203"/>
      <c r="M598" s="65"/>
      <c r="N598" s="62"/>
      <c r="O598" s="70"/>
      <c r="P598" s="64"/>
    </row>
    <row r="599" spans="1:16" x14ac:dyDescent="0.25">
      <c r="A599" s="24"/>
      <c r="L599" s="203"/>
      <c r="M599" s="65"/>
      <c r="N599" s="62"/>
      <c r="O599" s="70"/>
      <c r="P599" s="64"/>
    </row>
    <row r="600" spans="1:16" x14ac:dyDescent="0.25">
      <c r="A600" s="24"/>
      <c r="L600" s="203"/>
      <c r="M600" s="65"/>
      <c r="N600" s="62"/>
      <c r="O600" s="70"/>
      <c r="P600" s="64"/>
    </row>
    <row r="601" spans="1:16" x14ac:dyDescent="0.25">
      <c r="A601" s="24"/>
      <c r="L601" s="203"/>
      <c r="M601" s="65"/>
      <c r="N601" s="62"/>
      <c r="O601" s="70"/>
      <c r="P601" s="64"/>
    </row>
    <row r="602" spans="1:16" x14ac:dyDescent="0.25">
      <c r="A602" s="24"/>
      <c r="L602" s="203"/>
      <c r="M602" s="65"/>
      <c r="N602" s="62"/>
      <c r="O602" s="70"/>
      <c r="P602" s="64"/>
    </row>
    <row r="603" spans="1:16" x14ac:dyDescent="0.25">
      <c r="A603" s="24"/>
      <c r="L603" s="203"/>
      <c r="M603" s="65"/>
      <c r="N603" s="62"/>
      <c r="O603" s="70"/>
      <c r="P603" s="64"/>
    </row>
    <row r="604" spans="1:16" x14ac:dyDescent="0.25">
      <c r="A604" s="24"/>
      <c r="L604" s="203"/>
      <c r="M604" s="65"/>
      <c r="N604" s="62"/>
      <c r="O604" s="70"/>
      <c r="P604" s="64"/>
    </row>
    <row r="605" spans="1:16" x14ac:dyDescent="0.25">
      <c r="A605" s="24"/>
      <c r="L605" s="203"/>
      <c r="M605" s="65"/>
      <c r="N605" s="62"/>
      <c r="O605" s="70"/>
      <c r="P605" s="64"/>
    </row>
    <row r="606" spans="1:16" x14ac:dyDescent="0.25">
      <c r="A606" s="24"/>
      <c r="L606" s="203"/>
      <c r="M606" s="65"/>
      <c r="N606" s="62"/>
      <c r="O606" s="70"/>
      <c r="P606" s="64"/>
    </row>
    <row r="607" spans="1:16" x14ac:dyDescent="0.25">
      <c r="A607" s="24"/>
      <c r="L607" s="203"/>
      <c r="M607" s="65"/>
      <c r="N607" s="62"/>
      <c r="O607" s="70"/>
      <c r="P607" s="64"/>
    </row>
    <row r="608" spans="1:16" x14ac:dyDescent="0.25">
      <c r="A608" s="24"/>
      <c r="L608" s="203"/>
      <c r="M608" s="65"/>
      <c r="N608" s="62"/>
      <c r="O608" s="70"/>
      <c r="P608" s="64"/>
    </row>
    <row r="609" spans="1:16" x14ac:dyDescent="0.25">
      <c r="A609" s="24"/>
      <c r="L609" s="203"/>
      <c r="M609" s="65"/>
      <c r="N609" s="62"/>
      <c r="O609" s="70"/>
      <c r="P609" s="64"/>
    </row>
    <row r="610" spans="1:16" x14ac:dyDescent="0.25">
      <c r="A610" s="24"/>
      <c r="L610" s="203"/>
      <c r="M610" s="65"/>
      <c r="N610" s="62"/>
      <c r="O610" s="70"/>
      <c r="P610" s="64"/>
    </row>
    <row r="611" spans="1:16" x14ac:dyDescent="0.25">
      <c r="A611" s="24"/>
      <c r="L611" s="203"/>
      <c r="M611" s="65"/>
      <c r="N611" s="62"/>
      <c r="O611" s="70"/>
      <c r="P611" s="64"/>
    </row>
    <row r="612" spans="1:16" x14ac:dyDescent="0.25">
      <c r="A612" s="24"/>
      <c r="L612" s="203"/>
      <c r="M612" s="65"/>
      <c r="N612" s="62"/>
      <c r="O612" s="70"/>
      <c r="P612" s="64"/>
    </row>
    <row r="613" spans="1:16" x14ac:dyDescent="0.25">
      <c r="A613" s="24"/>
      <c r="L613" s="203"/>
      <c r="M613" s="65"/>
      <c r="N613" s="62"/>
      <c r="O613" s="70"/>
      <c r="P613" s="64"/>
    </row>
    <row r="614" spans="1:16" x14ac:dyDescent="0.25">
      <c r="A614" s="24"/>
      <c r="L614" s="203"/>
      <c r="M614" s="65"/>
      <c r="N614" s="62"/>
      <c r="O614" s="70"/>
      <c r="P614" s="64"/>
    </row>
    <row r="615" spans="1:16" x14ac:dyDescent="0.25">
      <c r="A615" s="24"/>
      <c r="L615" s="203"/>
      <c r="M615" s="65"/>
      <c r="N615" s="62"/>
      <c r="O615" s="70"/>
      <c r="P615" s="64"/>
    </row>
    <row r="616" spans="1:16" x14ac:dyDescent="0.25">
      <c r="A616" s="24"/>
      <c r="L616" s="203"/>
      <c r="M616" s="65"/>
      <c r="N616" s="62"/>
      <c r="O616" s="70"/>
      <c r="P616" s="64"/>
    </row>
    <row r="617" spans="1:16" x14ac:dyDescent="0.25">
      <c r="A617" s="24"/>
      <c r="L617" s="203"/>
      <c r="M617" s="65"/>
      <c r="N617" s="62"/>
      <c r="O617" s="70"/>
      <c r="P617" s="64"/>
    </row>
    <row r="618" spans="1:16" x14ac:dyDescent="0.25">
      <c r="A618" s="24"/>
      <c r="L618" s="203"/>
      <c r="M618" s="65"/>
      <c r="N618" s="62"/>
      <c r="O618" s="70"/>
      <c r="P618" s="64"/>
    </row>
    <row r="619" spans="1:16" x14ac:dyDescent="0.25">
      <c r="A619" s="24"/>
      <c r="L619" s="203"/>
      <c r="M619" s="65"/>
      <c r="N619" s="62"/>
      <c r="O619" s="70"/>
      <c r="P619" s="64"/>
    </row>
    <row r="620" spans="1:16" x14ac:dyDescent="0.25">
      <c r="A620" s="24"/>
      <c r="L620" s="203"/>
      <c r="M620" s="65"/>
      <c r="N620" s="62"/>
      <c r="O620" s="70"/>
      <c r="P620" s="64"/>
    </row>
    <row r="621" spans="1:16" x14ac:dyDescent="0.25">
      <c r="A621" s="24"/>
      <c r="L621" s="203"/>
      <c r="M621" s="65"/>
      <c r="N621" s="62"/>
      <c r="O621" s="70"/>
      <c r="P621" s="64"/>
    </row>
    <row r="622" spans="1:16" x14ac:dyDescent="0.25">
      <c r="A622" s="24"/>
      <c r="L622" s="203"/>
      <c r="M622" s="65"/>
      <c r="N622" s="62"/>
      <c r="O622" s="70"/>
      <c r="P622" s="64"/>
    </row>
    <row r="623" spans="1:16" x14ac:dyDescent="0.25">
      <c r="A623" s="24"/>
      <c r="L623" s="203"/>
      <c r="M623" s="65"/>
      <c r="N623" s="62"/>
      <c r="O623" s="70"/>
      <c r="P623" s="64"/>
    </row>
    <row r="624" spans="1:16" x14ac:dyDescent="0.25">
      <c r="A624" s="24"/>
      <c r="L624" s="203"/>
      <c r="M624" s="65"/>
      <c r="N624" s="62"/>
      <c r="O624" s="70"/>
      <c r="P624" s="64"/>
    </row>
    <row r="625" spans="1:16" x14ac:dyDescent="0.25">
      <c r="A625" s="24"/>
      <c r="L625" s="203"/>
      <c r="M625" s="65"/>
      <c r="N625" s="62"/>
      <c r="O625" s="70"/>
      <c r="P625" s="64"/>
    </row>
    <row r="626" spans="1:16" x14ac:dyDescent="0.25">
      <c r="A626" s="24"/>
      <c r="L626" s="203"/>
      <c r="M626" s="65"/>
      <c r="N626" s="62"/>
      <c r="O626" s="70"/>
      <c r="P626" s="64"/>
    </row>
    <row r="627" spans="1:16" x14ac:dyDescent="0.25">
      <c r="A627" s="24"/>
      <c r="L627" s="203"/>
      <c r="M627" s="65"/>
      <c r="N627" s="62"/>
      <c r="O627" s="70"/>
      <c r="P627" s="64"/>
    </row>
    <row r="628" spans="1:16" x14ac:dyDescent="0.25">
      <c r="A628" s="24"/>
      <c r="L628" s="203"/>
      <c r="M628" s="65"/>
      <c r="N628" s="62"/>
      <c r="O628" s="70"/>
      <c r="P628" s="64"/>
    </row>
    <row r="629" spans="1:16" x14ac:dyDescent="0.25">
      <c r="A629" s="24"/>
      <c r="L629" s="203"/>
      <c r="M629" s="65"/>
      <c r="N629" s="62"/>
      <c r="O629" s="70"/>
      <c r="P629" s="64"/>
    </row>
    <row r="630" spans="1:16" x14ac:dyDescent="0.25">
      <c r="A630" s="24"/>
      <c r="L630" s="203"/>
      <c r="M630" s="65"/>
      <c r="N630" s="62"/>
      <c r="O630" s="70"/>
      <c r="P630" s="64"/>
    </row>
    <row r="631" spans="1:16" x14ac:dyDescent="0.25">
      <c r="A631" s="24"/>
      <c r="L631" s="203"/>
      <c r="M631" s="65"/>
      <c r="N631" s="62"/>
      <c r="O631" s="70"/>
      <c r="P631" s="64"/>
    </row>
    <row r="632" spans="1:16" x14ac:dyDescent="0.25">
      <c r="A632" s="24"/>
      <c r="L632" s="203"/>
      <c r="M632" s="65"/>
      <c r="N632" s="62"/>
      <c r="O632" s="70"/>
      <c r="P632" s="64"/>
    </row>
    <row r="633" spans="1:16" x14ac:dyDescent="0.25">
      <c r="A633" s="24"/>
      <c r="L633" s="203"/>
      <c r="M633" s="65"/>
      <c r="N633" s="62"/>
      <c r="O633" s="70"/>
      <c r="P633" s="64"/>
    </row>
    <row r="634" spans="1:16" x14ac:dyDescent="0.25">
      <c r="A634" s="24"/>
      <c r="L634" s="203"/>
      <c r="M634" s="65"/>
      <c r="N634" s="62"/>
      <c r="O634" s="70"/>
      <c r="P634" s="64"/>
    </row>
    <row r="635" spans="1:16" x14ac:dyDescent="0.25">
      <c r="A635" s="24"/>
      <c r="L635" s="203"/>
      <c r="M635" s="65"/>
      <c r="N635" s="62"/>
      <c r="O635" s="70"/>
      <c r="P635" s="64"/>
    </row>
    <row r="636" spans="1:16" x14ac:dyDescent="0.25">
      <c r="A636" s="24"/>
      <c r="L636" s="203"/>
      <c r="M636" s="65"/>
      <c r="N636" s="62"/>
      <c r="O636" s="70"/>
      <c r="P636" s="64"/>
    </row>
    <row r="637" spans="1:16" x14ac:dyDescent="0.25">
      <c r="A637" s="24"/>
      <c r="L637" s="203"/>
      <c r="M637" s="65"/>
      <c r="N637" s="62"/>
      <c r="O637" s="70"/>
      <c r="P637" s="64"/>
    </row>
    <row r="638" spans="1:16" x14ac:dyDescent="0.25">
      <c r="A638" s="24"/>
      <c r="L638" s="203"/>
      <c r="M638" s="65"/>
      <c r="N638" s="62"/>
      <c r="O638" s="70"/>
      <c r="P638" s="64"/>
    </row>
    <row r="639" spans="1:16" x14ac:dyDescent="0.25">
      <c r="A639" s="24"/>
      <c r="L639" s="203"/>
      <c r="M639" s="65"/>
      <c r="N639" s="62"/>
      <c r="O639" s="70"/>
      <c r="P639" s="64"/>
    </row>
    <row r="640" spans="1:16" x14ac:dyDescent="0.25">
      <c r="A640" s="24"/>
      <c r="L640" s="203"/>
      <c r="M640" s="65"/>
      <c r="N640" s="62"/>
      <c r="O640" s="70"/>
      <c r="P640" s="64"/>
    </row>
    <row r="641" spans="1:16" x14ac:dyDescent="0.25">
      <c r="A641" s="24"/>
      <c r="L641" s="203"/>
      <c r="M641" s="65"/>
      <c r="N641" s="62"/>
      <c r="O641" s="70"/>
      <c r="P641" s="64"/>
    </row>
    <row r="642" spans="1:16" x14ac:dyDescent="0.25">
      <c r="A642" s="24"/>
      <c r="L642" s="203"/>
      <c r="M642" s="65"/>
      <c r="N642" s="62"/>
      <c r="O642" s="70"/>
      <c r="P642" s="64"/>
    </row>
    <row r="643" spans="1:16" x14ac:dyDescent="0.25">
      <c r="A643" s="24"/>
      <c r="L643" s="203"/>
      <c r="M643" s="65"/>
      <c r="N643" s="62"/>
      <c r="O643" s="70"/>
      <c r="P643" s="64"/>
    </row>
    <row r="644" spans="1:16" x14ac:dyDescent="0.25">
      <c r="A644" s="24"/>
      <c r="L644" s="203"/>
      <c r="M644" s="65"/>
      <c r="N644" s="62"/>
      <c r="O644" s="70"/>
      <c r="P644" s="64"/>
    </row>
    <row r="645" spans="1:16" x14ac:dyDescent="0.25">
      <c r="A645" s="24"/>
      <c r="L645" s="203"/>
      <c r="M645" s="65"/>
      <c r="N645" s="62"/>
      <c r="O645" s="70"/>
      <c r="P645" s="64"/>
    </row>
    <row r="646" spans="1:16" x14ac:dyDescent="0.25">
      <c r="A646" s="24"/>
      <c r="L646" s="203"/>
      <c r="M646" s="65"/>
      <c r="N646" s="62"/>
      <c r="O646" s="70"/>
      <c r="P646" s="64"/>
    </row>
    <row r="647" spans="1:16" x14ac:dyDescent="0.25">
      <c r="A647" s="24"/>
      <c r="L647" s="203"/>
      <c r="M647" s="65"/>
      <c r="N647" s="62"/>
      <c r="O647" s="70"/>
      <c r="P647" s="64"/>
    </row>
    <row r="648" spans="1:16" x14ac:dyDescent="0.25">
      <c r="A648" s="24"/>
      <c r="L648" s="203"/>
      <c r="M648" s="65"/>
      <c r="N648" s="62"/>
      <c r="O648" s="70"/>
      <c r="P648" s="64"/>
    </row>
    <row r="649" spans="1:16" x14ac:dyDescent="0.25">
      <c r="A649" s="24"/>
      <c r="L649" s="203"/>
      <c r="M649" s="65"/>
      <c r="N649" s="62"/>
      <c r="O649" s="70"/>
      <c r="P649" s="64"/>
    </row>
    <row r="650" spans="1:16" x14ac:dyDescent="0.25">
      <c r="A650" s="24"/>
      <c r="L650" s="203"/>
      <c r="M650" s="65"/>
      <c r="N650" s="62"/>
      <c r="O650" s="70"/>
      <c r="P650" s="64"/>
    </row>
    <row r="651" spans="1:16" x14ac:dyDescent="0.25">
      <c r="A651" s="24"/>
      <c r="L651" s="203"/>
      <c r="M651" s="65"/>
      <c r="N651" s="62"/>
      <c r="O651" s="70"/>
      <c r="P651" s="64"/>
    </row>
    <row r="652" spans="1:16" x14ac:dyDescent="0.25">
      <c r="A652" s="24"/>
      <c r="L652" s="203"/>
      <c r="M652" s="65"/>
      <c r="N652" s="62"/>
      <c r="O652" s="70"/>
      <c r="P652" s="64"/>
    </row>
    <row r="653" spans="1:16" x14ac:dyDescent="0.25">
      <c r="A653" s="24"/>
      <c r="L653" s="203"/>
      <c r="M653" s="65"/>
      <c r="N653" s="62"/>
      <c r="O653" s="70"/>
      <c r="P653" s="64"/>
    </row>
    <row r="654" spans="1:16" x14ac:dyDescent="0.25">
      <c r="A654" s="24"/>
      <c r="L654" s="203"/>
      <c r="M654" s="65"/>
      <c r="N654" s="62"/>
      <c r="O654" s="70"/>
      <c r="P654" s="64"/>
    </row>
    <row r="655" spans="1:16" x14ac:dyDescent="0.25">
      <c r="A655" s="24"/>
      <c r="L655" s="203"/>
      <c r="M655" s="65"/>
      <c r="N655" s="62"/>
      <c r="O655" s="70"/>
      <c r="P655" s="64"/>
    </row>
    <row r="656" spans="1:16" x14ac:dyDescent="0.25">
      <c r="A656" s="24"/>
      <c r="L656" s="203"/>
      <c r="M656" s="65"/>
      <c r="N656" s="62"/>
      <c r="O656" s="70"/>
      <c r="P656" s="64"/>
    </row>
    <row r="657" spans="1:16" x14ac:dyDescent="0.25">
      <c r="A657" s="24"/>
      <c r="L657" s="203"/>
      <c r="M657" s="65"/>
      <c r="N657" s="62"/>
      <c r="O657" s="70"/>
      <c r="P657" s="64"/>
    </row>
    <row r="658" spans="1:16" x14ac:dyDescent="0.25">
      <c r="A658" s="24"/>
      <c r="L658" s="203"/>
      <c r="M658" s="65"/>
      <c r="N658" s="62"/>
      <c r="O658" s="70"/>
      <c r="P658" s="64"/>
    </row>
    <row r="659" spans="1:16" x14ac:dyDescent="0.25">
      <c r="A659" s="24"/>
      <c r="L659" s="203"/>
      <c r="M659" s="65"/>
      <c r="N659" s="62"/>
      <c r="O659" s="70"/>
      <c r="P659" s="64"/>
    </row>
    <row r="660" spans="1:16" x14ac:dyDescent="0.25">
      <c r="A660" s="24"/>
      <c r="L660" s="203"/>
      <c r="M660" s="65"/>
      <c r="N660" s="62"/>
      <c r="O660" s="70"/>
      <c r="P660" s="64"/>
    </row>
    <row r="661" spans="1:16" x14ac:dyDescent="0.25">
      <c r="A661" s="24"/>
      <c r="L661" s="203"/>
      <c r="M661" s="65"/>
      <c r="N661" s="62"/>
      <c r="O661" s="70"/>
      <c r="P661" s="64"/>
    </row>
    <row r="662" spans="1:16" x14ac:dyDescent="0.25">
      <c r="A662" s="24"/>
      <c r="L662" s="203"/>
      <c r="M662" s="65"/>
      <c r="N662" s="62"/>
      <c r="O662" s="70"/>
      <c r="P662" s="64"/>
    </row>
    <row r="663" spans="1:16" x14ac:dyDescent="0.25">
      <c r="A663" s="24"/>
      <c r="L663" s="203"/>
      <c r="M663" s="65"/>
      <c r="N663" s="62"/>
      <c r="O663" s="70"/>
      <c r="P663" s="64"/>
    </row>
    <row r="664" spans="1:16" x14ac:dyDescent="0.25">
      <c r="A664" s="24"/>
      <c r="L664" s="203"/>
      <c r="M664" s="65"/>
      <c r="N664" s="62"/>
      <c r="O664" s="70"/>
      <c r="P664" s="64"/>
    </row>
    <row r="665" spans="1:16" x14ac:dyDescent="0.25">
      <c r="A665" s="24"/>
      <c r="L665" s="203"/>
      <c r="M665" s="65"/>
      <c r="N665" s="62"/>
      <c r="O665" s="70"/>
      <c r="P665" s="64"/>
    </row>
    <row r="666" spans="1:16" x14ac:dyDescent="0.25">
      <c r="A666" s="24"/>
      <c r="L666" s="203"/>
      <c r="M666" s="65"/>
      <c r="N666" s="62"/>
      <c r="O666" s="70"/>
      <c r="P666" s="64"/>
    </row>
    <row r="667" spans="1:16" x14ac:dyDescent="0.25">
      <c r="A667" s="24"/>
      <c r="L667" s="203"/>
      <c r="M667" s="65"/>
      <c r="N667" s="62"/>
      <c r="O667" s="70"/>
      <c r="P667" s="64"/>
    </row>
    <row r="668" spans="1:16" x14ac:dyDescent="0.25">
      <c r="A668" s="24"/>
      <c r="L668" s="203"/>
      <c r="M668" s="65"/>
      <c r="N668" s="62"/>
      <c r="O668" s="70"/>
      <c r="P668" s="64"/>
    </row>
    <row r="669" spans="1:16" x14ac:dyDescent="0.25">
      <c r="A669" s="24"/>
      <c r="L669" s="203"/>
      <c r="M669" s="65"/>
      <c r="N669" s="62"/>
      <c r="O669" s="70"/>
      <c r="P669" s="64"/>
    </row>
    <row r="670" spans="1:16" x14ac:dyDescent="0.25">
      <c r="A670" s="24"/>
      <c r="L670" s="203"/>
      <c r="M670" s="65"/>
      <c r="N670" s="62"/>
      <c r="O670" s="70"/>
      <c r="P670" s="64"/>
    </row>
    <row r="671" spans="1:16" x14ac:dyDescent="0.25">
      <c r="A671" s="24"/>
      <c r="L671" s="203"/>
      <c r="M671" s="65"/>
      <c r="N671" s="62"/>
      <c r="O671" s="70"/>
      <c r="P671" s="64"/>
    </row>
    <row r="672" spans="1:16" x14ac:dyDescent="0.25">
      <c r="A672" s="24"/>
      <c r="L672" s="203"/>
      <c r="M672" s="65"/>
      <c r="N672" s="62"/>
      <c r="O672" s="70"/>
      <c r="P672" s="64"/>
    </row>
    <row r="673" spans="1:16" x14ac:dyDescent="0.25">
      <c r="A673" s="24"/>
      <c r="L673" s="203"/>
      <c r="M673" s="65"/>
      <c r="N673" s="62"/>
      <c r="O673" s="70"/>
      <c r="P673" s="64"/>
    </row>
    <row r="674" spans="1:16" x14ac:dyDescent="0.25">
      <c r="A674" s="24"/>
      <c r="L674" s="203"/>
      <c r="M674" s="65"/>
      <c r="N674" s="62"/>
      <c r="O674" s="70"/>
      <c r="P674" s="64"/>
    </row>
    <row r="675" spans="1:16" x14ac:dyDescent="0.25">
      <c r="A675" s="24"/>
      <c r="L675" s="203"/>
      <c r="M675" s="65"/>
      <c r="N675" s="62"/>
      <c r="O675" s="70"/>
      <c r="P675" s="64"/>
    </row>
    <row r="676" spans="1:16" x14ac:dyDescent="0.25">
      <c r="A676" s="24"/>
      <c r="L676" s="203"/>
      <c r="M676" s="65"/>
      <c r="N676" s="62"/>
      <c r="O676" s="70"/>
      <c r="P676" s="64"/>
    </row>
    <row r="677" spans="1:16" x14ac:dyDescent="0.25">
      <c r="A677" s="24"/>
      <c r="L677" s="203"/>
      <c r="M677" s="65"/>
      <c r="N677" s="62"/>
      <c r="O677" s="70"/>
      <c r="P677" s="64"/>
    </row>
    <row r="678" spans="1:16" x14ac:dyDescent="0.25">
      <c r="A678" s="24"/>
      <c r="L678" s="203"/>
      <c r="M678" s="65"/>
      <c r="N678" s="62"/>
      <c r="O678" s="70"/>
      <c r="P678" s="64"/>
    </row>
    <row r="679" spans="1:16" x14ac:dyDescent="0.25">
      <c r="A679" s="24"/>
      <c r="L679" s="203"/>
      <c r="M679" s="65"/>
      <c r="N679" s="62"/>
      <c r="O679" s="70"/>
      <c r="P679" s="64"/>
    </row>
    <row r="680" spans="1:16" x14ac:dyDescent="0.25">
      <c r="A680" s="24"/>
      <c r="L680" s="203"/>
      <c r="M680" s="65"/>
      <c r="N680" s="62"/>
      <c r="O680" s="70"/>
      <c r="P680" s="64"/>
    </row>
    <row r="681" spans="1:16" x14ac:dyDescent="0.25">
      <c r="A681" s="24"/>
      <c r="L681" s="203"/>
      <c r="M681" s="65"/>
      <c r="N681" s="62"/>
      <c r="O681" s="70"/>
      <c r="P681" s="64"/>
    </row>
    <row r="682" spans="1:16" x14ac:dyDescent="0.25">
      <c r="A682" s="24"/>
      <c r="L682" s="203"/>
      <c r="M682" s="65"/>
      <c r="N682" s="62"/>
      <c r="O682" s="70"/>
      <c r="P682" s="64"/>
    </row>
    <row r="683" spans="1:16" x14ac:dyDescent="0.25">
      <c r="A683" s="24"/>
      <c r="L683" s="203"/>
      <c r="M683" s="65"/>
      <c r="N683" s="62"/>
      <c r="O683" s="70"/>
      <c r="P683" s="64"/>
    </row>
    <row r="684" spans="1:16" x14ac:dyDescent="0.25">
      <c r="A684" s="24"/>
      <c r="L684" s="203"/>
      <c r="M684" s="65"/>
      <c r="N684" s="62"/>
      <c r="O684" s="70"/>
      <c r="P684" s="64"/>
    </row>
    <row r="685" spans="1:16" x14ac:dyDescent="0.25">
      <c r="A685" s="24"/>
      <c r="L685" s="203"/>
      <c r="M685" s="65"/>
      <c r="N685" s="62"/>
      <c r="O685" s="70"/>
      <c r="P685" s="64"/>
    </row>
    <row r="686" spans="1:16" x14ac:dyDescent="0.25">
      <c r="A686" s="24"/>
      <c r="L686" s="203"/>
      <c r="M686" s="65"/>
      <c r="N686" s="62"/>
      <c r="O686" s="70"/>
      <c r="P686" s="64"/>
    </row>
    <row r="687" spans="1:16" x14ac:dyDescent="0.25">
      <c r="A687" s="24"/>
      <c r="L687" s="203"/>
      <c r="M687" s="65"/>
      <c r="N687" s="62"/>
      <c r="O687" s="70"/>
      <c r="P687" s="64"/>
    </row>
    <row r="688" spans="1:16" x14ac:dyDescent="0.25">
      <c r="A688" s="24"/>
      <c r="L688" s="203"/>
      <c r="M688" s="65"/>
      <c r="N688" s="62"/>
      <c r="O688" s="70"/>
      <c r="P688" s="64"/>
    </row>
    <row r="689" spans="1:16" x14ac:dyDescent="0.25">
      <c r="A689" s="24"/>
      <c r="L689" s="203"/>
      <c r="M689" s="65"/>
      <c r="N689" s="62"/>
      <c r="O689" s="70"/>
      <c r="P689" s="64"/>
    </row>
    <row r="690" spans="1:16" x14ac:dyDescent="0.25">
      <c r="A690" s="24"/>
      <c r="L690" s="203"/>
      <c r="M690" s="65"/>
      <c r="N690" s="62"/>
      <c r="O690" s="70"/>
      <c r="P690" s="64"/>
    </row>
    <row r="691" spans="1:16" x14ac:dyDescent="0.25">
      <c r="A691" s="24"/>
      <c r="L691" s="203"/>
      <c r="M691" s="65"/>
      <c r="N691" s="62"/>
      <c r="O691" s="70"/>
      <c r="P691" s="64"/>
    </row>
    <row r="692" spans="1:16" x14ac:dyDescent="0.25">
      <c r="A692" s="24"/>
      <c r="L692" s="203"/>
      <c r="M692" s="65"/>
      <c r="N692" s="62"/>
      <c r="O692" s="70"/>
      <c r="P692" s="64"/>
    </row>
    <row r="693" spans="1:16" x14ac:dyDescent="0.25">
      <c r="A693" s="24"/>
      <c r="L693" s="203"/>
      <c r="M693" s="65"/>
      <c r="N693" s="62"/>
      <c r="O693" s="70"/>
      <c r="P693" s="64"/>
    </row>
    <row r="694" spans="1:16" x14ac:dyDescent="0.25">
      <c r="A694" s="24"/>
      <c r="L694" s="203"/>
      <c r="M694" s="65"/>
      <c r="N694" s="62"/>
      <c r="O694" s="70"/>
      <c r="P694" s="64"/>
    </row>
    <row r="695" spans="1:16" x14ac:dyDescent="0.25">
      <c r="A695" s="24"/>
      <c r="L695" s="203"/>
      <c r="M695" s="65"/>
      <c r="N695" s="62"/>
      <c r="O695" s="70"/>
      <c r="P695" s="64"/>
    </row>
    <row r="696" spans="1:16" x14ac:dyDescent="0.25">
      <c r="A696" s="24"/>
      <c r="L696" s="203"/>
      <c r="M696" s="65"/>
      <c r="N696" s="62"/>
      <c r="O696" s="70"/>
      <c r="P696" s="64"/>
    </row>
    <row r="697" spans="1:16" x14ac:dyDescent="0.25">
      <c r="A697" s="24"/>
      <c r="L697" s="203"/>
      <c r="M697" s="65"/>
      <c r="N697" s="62"/>
      <c r="O697" s="70"/>
      <c r="P697" s="64"/>
    </row>
    <row r="698" spans="1:16" x14ac:dyDescent="0.25">
      <c r="A698" s="24"/>
      <c r="L698" s="203"/>
      <c r="M698" s="65"/>
      <c r="N698" s="62"/>
      <c r="O698" s="70"/>
      <c r="P698" s="64"/>
    </row>
    <row r="699" spans="1:16" x14ac:dyDescent="0.25">
      <c r="A699" s="24"/>
      <c r="L699" s="203"/>
      <c r="M699" s="65"/>
      <c r="N699" s="62"/>
      <c r="O699" s="70"/>
      <c r="P699" s="64"/>
    </row>
    <row r="700" spans="1:16" x14ac:dyDescent="0.25">
      <c r="A700" s="24"/>
      <c r="L700" s="203"/>
      <c r="M700" s="65"/>
      <c r="N700" s="62"/>
      <c r="O700" s="70"/>
      <c r="P700" s="64"/>
    </row>
    <row r="701" spans="1:16" x14ac:dyDescent="0.25">
      <c r="A701" s="24"/>
      <c r="L701" s="203"/>
      <c r="M701" s="65"/>
      <c r="N701" s="62"/>
      <c r="O701" s="70"/>
      <c r="P701" s="64"/>
    </row>
    <row r="702" spans="1:16" x14ac:dyDescent="0.25">
      <c r="A702" s="24"/>
      <c r="L702" s="203"/>
      <c r="M702" s="65"/>
      <c r="N702" s="62"/>
      <c r="O702" s="70"/>
      <c r="P702" s="64"/>
    </row>
    <row r="703" spans="1:16" x14ac:dyDescent="0.25">
      <c r="A703" s="24"/>
      <c r="L703" s="203"/>
      <c r="M703" s="65"/>
      <c r="N703" s="62"/>
      <c r="O703" s="70"/>
      <c r="P703" s="64"/>
    </row>
    <row r="704" spans="1:16" x14ac:dyDescent="0.25">
      <c r="A704" s="24"/>
      <c r="L704" s="203"/>
      <c r="M704" s="65"/>
      <c r="N704" s="62"/>
      <c r="O704" s="70"/>
      <c r="P704" s="64"/>
    </row>
    <row r="705" spans="1:16" x14ac:dyDescent="0.25">
      <c r="A705" s="24"/>
      <c r="L705" s="203"/>
      <c r="M705" s="65"/>
      <c r="N705" s="62"/>
      <c r="O705" s="70"/>
      <c r="P705" s="64"/>
    </row>
    <row r="706" spans="1:16" x14ac:dyDescent="0.25">
      <c r="A706" s="24"/>
      <c r="L706" s="203"/>
      <c r="M706" s="65"/>
      <c r="N706" s="62"/>
      <c r="O706" s="70"/>
      <c r="P706" s="64"/>
    </row>
    <row r="707" spans="1:16" x14ac:dyDescent="0.25">
      <c r="A707" s="24"/>
      <c r="L707" s="203"/>
      <c r="M707" s="65"/>
      <c r="N707" s="62"/>
      <c r="O707" s="70"/>
      <c r="P707" s="64"/>
    </row>
    <row r="708" spans="1:16" x14ac:dyDescent="0.25">
      <c r="A708" s="24"/>
      <c r="L708" s="203"/>
      <c r="M708" s="65"/>
      <c r="N708" s="62"/>
      <c r="O708" s="70"/>
      <c r="P708" s="64"/>
    </row>
    <row r="709" spans="1:16" x14ac:dyDescent="0.25">
      <c r="A709" s="24"/>
      <c r="L709" s="203"/>
      <c r="M709" s="65"/>
      <c r="N709" s="62"/>
      <c r="O709" s="70"/>
      <c r="P709" s="64"/>
    </row>
    <row r="710" spans="1:16" x14ac:dyDescent="0.25">
      <c r="A710" s="24"/>
      <c r="L710" s="203"/>
      <c r="M710" s="65"/>
      <c r="N710" s="62"/>
      <c r="O710" s="70"/>
      <c r="P710" s="64"/>
    </row>
    <row r="711" spans="1:16" x14ac:dyDescent="0.25">
      <c r="A711" s="24"/>
      <c r="L711" s="203"/>
      <c r="M711" s="65"/>
      <c r="N711" s="62"/>
      <c r="O711" s="70"/>
      <c r="P711" s="64"/>
    </row>
    <row r="712" spans="1:16" x14ac:dyDescent="0.25">
      <c r="A712" s="24"/>
      <c r="L712" s="203"/>
      <c r="M712" s="65"/>
      <c r="N712" s="62"/>
      <c r="O712" s="70"/>
      <c r="P712" s="64"/>
    </row>
    <row r="713" spans="1:16" x14ac:dyDescent="0.25">
      <c r="A713" s="24"/>
      <c r="L713" s="203"/>
      <c r="M713" s="65"/>
      <c r="N713" s="62"/>
      <c r="O713" s="70"/>
      <c r="P713" s="64"/>
    </row>
    <row r="714" spans="1:16" x14ac:dyDescent="0.25">
      <c r="A714" s="24"/>
      <c r="L714" s="203"/>
      <c r="M714" s="65"/>
      <c r="N714" s="62"/>
      <c r="O714" s="70"/>
      <c r="P714" s="64"/>
    </row>
    <row r="715" spans="1:16" x14ac:dyDescent="0.25">
      <c r="A715" s="24"/>
      <c r="L715" s="203"/>
      <c r="M715" s="65"/>
      <c r="N715" s="62"/>
      <c r="O715" s="70"/>
      <c r="P715" s="64"/>
    </row>
    <row r="716" spans="1:16" x14ac:dyDescent="0.25">
      <c r="A716" s="24"/>
      <c r="L716" s="203"/>
      <c r="M716" s="65"/>
      <c r="N716" s="62"/>
      <c r="O716" s="70"/>
      <c r="P716" s="64"/>
    </row>
    <row r="717" spans="1:16" x14ac:dyDescent="0.25">
      <c r="A717" s="24"/>
      <c r="L717" s="203"/>
      <c r="M717" s="65"/>
      <c r="N717" s="62"/>
      <c r="O717" s="70"/>
      <c r="P717" s="64"/>
    </row>
    <row r="718" spans="1:16" x14ac:dyDescent="0.25">
      <c r="A718" s="24"/>
      <c r="L718" s="203"/>
      <c r="M718" s="65"/>
      <c r="N718" s="62"/>
      <c r="O718" s="70"/>
      <c r="P718" s="64"/>
    </row>
    <row r="719" spans="1:16" x14ac:dyDescent="0.25">
      <c r="A719" s="24"/>
      <c r="L719" s="203"/>
      <c r="M719" s="65"/>
      <c r="N719" s="62"/>
      <c r="O719" s="70"/>
      <c r="P719" s="64"/>
    </row>
    <row r="720" spans="1:16" x14ac:dyDescent="0.25">
      <c r="A720" s="24"/>
      <c r="L720" s="203"/>
      <c r="M720" s="65"/>
      <c r="N720" s="62"/>
      <c r="O720" s="70"/>
      <c r="P720" s="64"/>
    </row>
    <row r="721" spans="1:16" x14ac:dyDescent="0.25">
      <c r="A721" s="24"/>
      <c r="L721" s="203"/>
      <c r="M721" s="65"/>
      <c r="N721" s="62"/>
      <c r="O721" s="70"/>
      <c r="P721" s="64"/>
    </row>
    <row r="722" spans="1:16" x14ac:dyDescent="0.25">
      <c r="A722" s="24"/>
      <c r="L722" s="203"/>
      <c r="M722" s="65"/>
      <c r="N722" s="62"/>
      <c r="O722" s="70"/>
      <c r="P722" s="64"/>
    </row>
    <row r="723" spans="1:16" x14ac:dyDescent="0.25">
      <c r="A723" s="24"/>
      <c r="L723" s="203"/>
      <c r="M723" s="65"/>
      <c r="N723" s="62"/>
      <c r="O723" s="70"/>
      <c r="P723" s="64"/>
    </row>
    <row r="724" spans="1:16" x14ac:dyDescent="0.25">
      <c r="A724" s="24"/>
      <c r="L724" s="203"/>
      <c r="M724" s="65"/>
      <c r="N724" s="62"/>
      <c r="O724" s="70"/>
      <c r="P724" s="64"/>
    </row>
    <row r="725" spans="1:16" x14ac:dyDescent="0.25">
      <c r="A725" s="24"/>
      <c r="L725" s="203"/>
      <c r="M725" s="65"/>
      <c r="N725" s="62"/>
      <c r="O725" s="70"/>
      <c r="P725" s="64"/>
    </row>
    <row r="726" spans="1:16" x14ac:dyDescent="0.25">
      <c r="A726" s="24"/>
      <c r="L726" s="203"/>
      <c r="M726" s="65"/>
      <c r="N726" s="62"/>
      <c r="O726" s="70"/>
      <c r="P726" s="64"/>
    </row>
    <row r="727" spans="1:16" x14ac:dyDescent="0.25">
      <c r="A727" s="24"/>
      <c r="L727" s="203"/>
      <c r="M727" s="65"/>
      <c r="N727" s="62"/>
      <c r="O727" s="70"/>
      <c r="P727" s="64"/>
    </row>
    <row r="728" spans="1:16" x14ac:dyDescent="0.25">
      <c r="A728" s="24"/>
      <c r="L728" s="203"/>
      <c r="M728" s="65"/>
      <c r="N728" s="62"/>
      <c r="O728" s="70"/>
      <c r="P728" s="64"/>
    </row>
    <row r="729" spans="1:16" x14ac:dyDescent="0.25">
      <c r="A729" s="24"/>
      <c r="L729" s="203"/>
      <c r="M729" s="65"/>
      <c r="N729" s="62"/>
      <c r="O729" s="70"/>
      <c r="P729" s="64"/>
    </row>
    <row r="730" spans="1:16" x14ac:dyDescent="0.25">
      <c r="A730" s="24"/>
      <c r="L730" s="203"/>
      <c r="M730" s="65"/>
      <c r="N730" s="62"/>
      <c r="O730" s="70"/>
      <c r="P730" s="64"/>
    </row>
    <row r="731" spans="1:16" x14ac:dyDescent="0.25">
      <c r="A731" s="24"/>
      <c r="L731" s="203"/>
      <c r="M731" s="65"/>
      <c r="N731" s="62"/>
      <c r="O731" s="70"/>
      <c r="P731" s="64"/>
    </row>
    <row r="732" spans="1:16" x14ac:dyDescent="0.25">
      <c r="A732" s="24"/>
      <c r="L732" s="203"/>
      <c r="M732" s="65"/>
      <c r="N732" s="62"/>
      <c r="O732" s="70"/>
      <c r="P732" s="64"/>
    </row>
    <row r="733" spans="1:16" x14ac:dyDescent="0.25">
      <c r="A733" s="24"/>
      <c r="L733" s="203"/>
      <c r="M733" s="65"/>
      <c r="N733" s="62"/>
      <c r="O733" s="70"/>
      <c r="P733" s="64"/>
    </row>
    <row r="734" spans="1:16" x14ac:dyDescent="0.25">
      <c r="A734" s="24"/>
      <c r="L734" s="203"/>
      <c r="M734" s="65"/>
      <c r="N734" s="62"/>
      <c r="O734" s="70"/>
      <c r="P734" s="64"/>
    </row>
    <row r="735" spans="1:16" x14ac:dyDescent="0.25">
      <c r="A735" s="24"/>
      <c r="L735" s="203"/>
      <c r="M735" s="65"/>
      <c r="N735" s="62"/>
      <c r="O735" s="70"/>
      <c r="P735" s="64"/>
    </row>
    <row r="736" spans="1:16" x14ac:dyDescent="0.25">
      <c r="A736" s="24"/>
      <c r="L736" s="203"/>
      <c r="M736" s="65"/>
      <c r="N736" s="62"/>
      <c r="O736" s="70"/>
      <c r="P736" s="64"/>
    </row>
    <row r="737" spans="1:16" x14ac:dyDescent="0.25">
      <c r="A737" s="24"/>
      <c r="L737" s="203"/>
      <c r="M737" s="65"/>
      <c r="N737" s="62"/>
      <c r="O737" s="70"/>
      <c r="P737" s="64"/>
    </row>
    <row r="738" spans="1:16" x14ac:dyDescent="0.25">
      <c r="A738" s="24"/>
      <c r="L738" s="203"/>
      <c r="M738" s="65"/>
      <c r="N738" s="62"/>
      <c r="O738" s="70"/>
      <c r="P738" s="64"/>
    </row>
    <row r="739" spans="1:16" x14ac:dyDescent="0.25">
      <c r="A739" s="24"/>
      <c r="L739" s="203"/>
      <c r="M739" s="65"/>
      <c r="N739" s="62"/>
      <c r="O739" s="70"/>
      <c r="P739" s="64"/>
    </row>
    <row r="740" spans="1:16" x14ac:dyDescent="0.25">
      <c r="A740" s="24"/>
      <c r="L740" s="203"/>
      <c r="M740" s="65"/>
      <c r="N740" s="62"/>
      <c r="O740" s="70"/>
      <c r="P740" s="64"/>
    </row>
    <row r="741" spans="1:16" x14ac:dyDescent="0.25">
      <c r="A741" s="24"/>
      <c r="L741" s="203"/>
      <c r="M741" s="65"/>
      <c r="N741" s="62"/>
      <c r="O741" s="70"/>
      <c r="P741" s="64"/>
    </row>
    <row r="742" spans="1:16" x14ac:dyDescent="0.25">
      <c r="A742" s="24"/>
      <c r="L742" s="203"/>
      <c r="M742" s="65"/>
      <c r="N742" s="62"/>
      <c r="O742" s="70"/>
      <c r="P742" s="64"/>
    </row>
    <row r="743" spans="1:16" x14ac:dyDescent="0.25">
      <c r="A743" s="24"/>
      <c r="L743" s="203"/>
      <c r="M743" s="65"/>
      <c r="N743" s="62"/>
      <c r="O743" s="70"/>
      <c r="P743" s="64"/>
    </row>
    <row r="744" spans="1:16" x14ac:dyDescent="0.25">
      <c r="A744" s="24"/>
      <c r="L744" s="203"/>
      <c r="M744" s="65"/>
      <c r="N744" s="62"/>
      <c r="O744" s="70"/>
      <c r="P744" s="64"/>
    </row>
    <row r="745" spans="1:16" x14ac:dyDescent="0.25">
      <c r="A745" s="24"/>
      <c r="L745" s="203"/>
      <c r="M745" s="65"/>
      <c r="N745" s="62"/>
      <c r="O745" s="70"/>
      <c r="P745" s="64"/>
    </row>
    <row r="746" spans="1:16" x14ac:dyDescent="0.25">
      <c r="A746" s="24"/>
      <c r="L746" s="203"/>
      <c r="M746" s="65"/>
      <c r="N746" s="62"/>
      <c r="O746" s="70"/>
      <c r="P746" s="64"/>
    </row>
    <row r="747" spans="1:16" x14ac:dyDescent="0.25">
      <c r="A747" s="24"/>
      <c r="L747" s="203"/>
      <c r="M747" s="65"/>
      <c r="N747" s="62"/>
      <c r="O747" s="70"/>
      <c r="P747" s="64"/>
    </row>
    <row r="748" spans="1:16" x14ac:dyDescent="0.25">
      <c r="A748" s="24"/>
      <c r="L748" s="203"/>
      <c r="M748" s="65"/>
      <c r="N748" s="62"/>
      <c r="O748" s="70"/>
      <c r="P748" s="64"/>
    </row>
    <row r="749" spans="1:16" x14ac:dyDescent="0.25">
      <c r="A749" s="24"/>
      <c r="L749" s="203"/>
      <c r="M749" s="65"/>
      <c r="N749" s="62"/>
      <c r="O749" s="70"/>
      <c r="P749" s="64"/>
    </row>
    <row r="750" spans="1:16" x14ac:dyDescent="0.25">
      <c r="A750" s="24"/>
      <c r="L750" s="203"/>
      <c r="M750" s="65"/>
      <c r="N750" s="62"/>
      <c r="O750" s="70"/>
      <c r="P750" s="64"/>
    </row>
    <row r="751" spans="1:16" x14ac:dyDescent="0.25">
      <c r="A751" s="24"/>
      <c r="L751" s="203"/>
      <c r="M751" s="65"/>
      <c r="N751" s="62"/>
      <c r="O751" s="70"/>
      <c r="P751" s="64"/>
    </row>
    <row r="752" spans="1:16" x14ac:dyDescent="0.25">
      <c r="A752" s="24"/>
      <c r="L752" s="203"/>
      <c r="M752" s="65"/>
      <c r="N752" s="62"/>
      <c r="O752" s="70"/>
      <c r="P752" s="64"/>
    </row>
    <row r="753" spans="1:16" x14ac:dyDescent="0.25">
      <c r="A753" s="24"/>
      <c r="L753" s="203"/>
      <c r="M753" s="65"/>
      <c r="N753" s="62"/>
      <c r="O753" s="70"/>
      <c r="P753" s="64"/>
    </row>
    <row r="754" spans="1:16" x14ac:dyDescent="0.25">
      <c r="A754" s="24"/>
      <c r="L754" s="203"/>
      <c r="M754" s="65"/>
      <c r="N754" s="62"/>
      <c r="O754" s="70"/>
      <c r="P754" s="64"/>
    </row>
    <row r="755" spans="1:16" x14ac:dyDescent="0.25">
      <c r="A755" s="24"/>
      <c r="L755" s="203"/>
      <c r="M755" s="65"/>
      <c r="N755" s="62"/>
      <c r="O755" s="70"/>
      <c r="P755" s="64"/>
    </row>
    <row r="756" spans="1:16" x14ac:dyDescent="0.25">
      <c r="A756" s="24"/>
      <c r="L756" s="203"/>
      <c r="M756" s="65"/>
      <c r="N756" s="62"/>
      <c r="O756" s="70"/>
      <c r="P756" s="64"/>
    </row>
    <row r="757" spans="1:16" x14ac:dyDescent="0.25">
      <c r="A757" s="24"/>
      <c r="L757" s="203"/>
      <c r="M757" s="65"/>
      <c r="N757" s="62"/>
      <c r="O757" s="70"/>
      <c r="P757" s="64"/>
    </row>
    <row r="758" spans="1:16" x14ac:dyDescent="0.25">
      <c r="A758" s="24"/>
      <c r="L758" s="203"/>
      <c r="M758" s="65"/>
      <c r="N758" s="62"/>
      <c r="O758" s="70"/>
      <c r="P758" s="64"/>
    </row>
    <row r="759" spans="1:16" x14ac:dyDescent="0.25">
      <c r="A759" s="24"/>
      <c r="L759" s="203"/>
      <c r="M759" s="65"/>
      <c r="N759" s="62"/>
      <c r="O759" s="70"/>
      <c r="P759" s="64"/>
    </row>
    <row r="760" spans="1:16" x14ac:dyDescent="0.25">
      <c r="A760" s="24"/>
      <c r="L760" s="203"/>
      <c r="M760" s="65"/>
      <c r="N760" s="62"/>
      <c r="O760" s="70"/>
      <c r="P760" s="64"/>
    </row>
    <row r="761" spans="1:16" x14ac:dyDescent="0.25">
      <c r="A761" s="24"/>
      <c r="L761" s="203"/>
      <c r="M761" s="65"/>
      <c r="N761" s="62"/>
      <c r="O761" s="70"/>
      <c r="P761" s="64"/>
    </row>
    <row r="762" spans="1:16" x14ac:dyDescent="0.25">
      <c r="A762" s="24"/>
      <c r="L762" s="203"/>
      <c r="M762" s="65"/>
      <c r="N762" s="62"/>
      <c r="O762" s="70"/>
      <c r="P762" s="64"/>
    </row>
    <row r="763" spans="1:16" x14ac:dyDescent="0.25">
      <c r="A763" s="24"/>
      <c r="L763" s="203"/>
      <c r="M763" s="65"/>
      <c r="N763" s="62"/>
      <c r="O763" s="70"/>
      <c r="P763" s="64"/>
    </row>
    <row r="764" spans="1:16" x14ac:dyDescent="0.25">
      <c r="A764" s="24"/>
      <c r="L764" s="203"/>
      <c r="M764" s="65"/>
      <c r="N764" s="62"/>
      <c r="O764" s="70"/>
      <c r="P764" s="64"/>
    </row>
    <row r="765" spans="1:16" x14ac:dyDescent="0.25">
      <c r="A765" s="24"/>
      <c r="L765" s="203"/>
      <c r="M765" s="65"/>
      <c r="N765" s="62"/>
      <c r="O765" s="70"/>
      <c r="P765" s="64"/>
    </row>
    <row r="766" spans="1:16" x14ac:dyDescent="0.25">
      <c r="A766" s="24"/>
      <c r="L766" s="203"/>
      <c r="M766" s="65"/>
      <c r="N766" s="62"/>
      <c r="O766" s="70"/>
      <c r="P766" s="64"/>
    </row>
    <row r="767" spans="1:16" x14ac:dyDescent="0.25">
      <c r="A767" s="24"/>
      <c r="L767" s="203"/>
      <c r="M767" s="65"/>
      <c r="N767" s="62"/>
      <c r="O767" s="70"/>
      <c r="P767" s="64"/>
    </row>
    <row r="768" spans="1:16" x14ac:dyDescent="0.25">
      <c r="A768" s="24"/>
      <c r="L768" s="203"/>
      <c r="M768" s="65"/>
      <c r="N768" s="62"/>
      <c r="O768" s="70"/>
      <c r="P768" s="64"/>
    </row>
    <row r="769" spans="1:16" x14ac:dyDescent="0.25">
      <c r="A769" s="24"/>
      <c r="L769" s="203"/>
      <c r="M769" s="65"/>
      <c r="N769" s="62"/>
      <c r="O769" s="70"/>
      <c r="P769" s="64"/>
    </row>
    <row r="770" spans="1:16" x14ac:dyDescent="0.25">
      <c r="A770" s="24"/>
      <c r="L770" s="203"/>
      <c r="M770" s="65"/>
      <c r="N770" s="62"/>
      <c r="O770" s="70"/>
      <c r="P770" s="64"/>
    </row>
    <row r="771" spans="1:16" x14ac:dyDescent="0.25">
      <c r="A771" s="24"/>
      <c r="L771" s="203"/>
      <c r="M771" s="65"/>
      <c r="N771" s="62"/>
      <c r="O771" s="70"/>
      <c r="P771" s="64"/>
    </row>
    <row r="772" spans="1:16" x14ac:dyDescent="0.25">
      <c r="A772" s="24"/>
      <c r="L772" s="203"/>
      <c r="M772" s="65"/>
      <c r="N772" s="62"/>
      <c r="O772" s="70"/>
      <c r="P772" s="64"/>
    </row>
    <row r="773" spans="1:16" x14ac:dyDescent="0.25">
      <c r="A773" s="24"/>
      <c r="L773" s="203"/>
      <c r="M773" s="65"/>
      <c r="N773" s="62"/>
      <c r="O773" s="70"/>
      <c r="P773" s="64"/>
    </row>
    <row r="774" spans="1:16" x14ac:dyDescent="0.25">
      <c r="A774" s="24"/>
      <c r="L774" s="203"/>
      <c r="M774" s="65"/>
      <c r="N774" s="62"/>
      <c r="O774" s="70"/>
      <c r="P774" s="64"/>
    </row>
    <row r="775" spans="1:16" x14ac:dyDescent="0.25">
      <c r="A775" s="24"/>
      <c r="L775" s="203"/>
      <c r="M775" s="65"/>
      <c r="N775" s="62"/>
      <c r="O775" s="70"/>
      <c r="P775" s="64"/>
    </row>
    <row r="776" spans="1:16" x14ac:dyDescent="0.25">
      <c r="A776" s="24"/>
      <c r="L776" s="203"/>
      <c r="M776" s="65"/>
      <c r="N776" s="62"/>
      <c r="O776" s="70"/>
      <c r="P776" s="64"/>
    </row>
    <row r="777" spans="1:16" x14ac:dyDescent="0.25">
      <c r="A777" s="24"/>
      <c r="L777" s="203"/>
      <c r="M777" s="65"/>
      <c r="N777" s="62"/>
      <c r="O777" s="70"/>
      <c r="P777" s="64"/>
    </row>
    <row r="778" spans="1:16" x14ac:dyDescent="0.25">
      <c r="A778" s="24"/>
      <c r="L778" s="203"/>
      <c r="M778" s="65"/>
      <c r="N778" s="62"/>
      <c r="O778" s="70"/>
      <c r="P778" s="64"/>
    </row>
    <row r="779" spans="1:16" x14ac:dyDescent="0.25">
      <c r="A779" s="24"/>
      <c r="L779" s="203"/>
      <c r="M779" s="65"/>
      <c r="N779" s="62"/>
      <c r="O779" s="70"/>
      <c r="P779" s="64"/>
    </row>
    <row r="780" spans="1:16" x14ac:dyDescent="0.25">
      <c r="A780" s="24"/>
      <c r="L780" s="203"/>
      <c r="M780" s="65"/>
      <c r="N780" s="62"/>
      <c r="O780" s="70"/>
      <c r="P780" s="64"/>
    </row>
    <row r="781" spans="1:16" x14ac:dyDescent="0.25">
      <c r="A781" s="24"/>
      <c r="L781" s="203"/>
      <c r="M781" s="65"/>
      <c r="N781" s="62"/>
      <c r="O781" s="70"/>
      <c r="P781" s="64"/>
    </row>
    <row r="782" spans="1:16" x14ac:dyDescent="0.25">
      <c r="A782" s="24"/>
      <c r="L782" s="203"/>
      <c r="M782" s="65"/>
      <c r="N782" s="62"/>
      <c r="O782" s="70"/>
      <c r="P782" s="64"/>
    </row>
    <row r="783" spans="1:16" x14ac:dyDescent="0.25">
      <c r="A783" s="24"/>
      <c r="L783" s="203"/>
      <c r="M783" s="65"/>
      <c r="N783" s="62"/>
      <c r="O783" s="70"/>
      <c r="P783" s="64"/>
    </row>
    <row r="784" spans="1:16" x14ac:dyDescent="0.25">
      <c r="A784" s="24"/>
      <c r="L784" s="203"/>
      <c r="M784" s="65"/>
      <c r="N784" s="62"/>
      <c r="O784" s="70"/>
      <c r="P784" s="64"/>
    </row>
    <row r="785" spans="1:16" x14ac:dyDescent="0.25">
      <c r="A785" s="24"/>
      <c r="L785" s="203"/>
      <c r="M785" s="65"/>
      <c r="N785" s="62"/>
      <c r="O785" s="70"/>
      <c r="P785" s="64"/>
    </row>
    <row r="786" spans="1:16" x14ac:dyDescent="0.25">
      <c r="A786" s="24"/>
      <c r="L786" s="203"/>
      <c r="M786" s="65"/>
      <c r="N786" s="62"/>
      <c r="O786" s="70"/>
      <c r="P786" s="64"/>
    </row>
    <row r="787" spans="1:16" x14ac:dyDescent="0.25">
      <c r="A787" s="24"/>
      <c r="L787" s="203"/>
      <c r="M787" s="65"/>
      <c r="N787" s="62"/>
      <c r="O787" s="70"/>
      <c r="P787" s="64"/>
    </row>
    <row r="788" spans="1:16" x14ac:dyDescent="0.25">
      <c r="A788" s="24"/>
      <c r="L788" s="203"/>
      <c r="M788" s="65"/>
      <c r="N788" s="62"/>
      <c r="O788" s="70"/>
      <c r="P788" s="64"/>
    </row>
    <row r="789" spans="1:16" x14ac:dyDescent="0.25">
      <c r="A789" s="24"/>
      <c r="L789" s="203"/>
      <c r="M789" s="65"/>
      <c r="N789" s="62"/>
      <c r="O789" s="70"/>
      <c r="P789" s="64"/>
    </row>
    <row r="790" spans="1:16" x14ac:dyDescent="0.25">
      <c r="A790" s="24"/>
      <c r="L790" s="203"/>
      <c r="M790" s="65"/>
      <c r="N790" s="62"/>
      <c r="O790" s="70"/>
      <c r="P790" s="64"/>
    </row>
    <row r="791" spans="1:16" x14ac:dyDescent="0.25">
      <c r="A791" s="24"/>
      <c r="L791" s="203"/>
      <c r="M791" s="65"/>
      <c r="N791" s="62"/>
      <c r="O791" s="70"/>
      <c r="P791" s="64"/>
    </row>
    <row r="792" spans="1:16" x14ac:dyDescent="0.25">
      <c r="A792" s="24"/>
      <c r="L792" s="203"/>
      <c r="M792" s="65"/>
      <c r="N792" s="62"/>
      <c r="O792" s="70"/>
      <c r="P792" s="64"/>
    </row>
    <row r="793" spans="1:16" x14ac:dyDescent="0.25">
      <c r="A793" s="24"/>
      <c r="L793" s="203"/>
      <c r="M793" s="65"/>
      <c r="N793" s="62"/>
      <c r="O793" s="70"/>
      <c r="P793" s="64"/>
    </row>
    <row r="794" spans="1:16" x14ac:dyDescent="0.25">
      <c r="A794" s="24"/>
      <c r="L794" s="203"/>
      <c r="M794" s="65"/>
      <c r="N794" s="62"/>
      <c r="O794" s="70"/>
      <c r="P794" s="64"/>
    </row>
    <row r="795" spans="1:16" x14ac:dyDescent="0.25">
      <c r="A795" s="24"/>
      <c r="L795" s="203"/>
      <c r="M795" s="65"/>
      <c r="N795" s="62"/>
      <c r="O795" s="70"/>
      <c r="P795" s="64"/>
    </row>
    <row r="796" spans="1:16" x14ac:dyDescent="0.25">
      <c r="A796" s="24"/>
      <c r="L796" s="203"/>
      <c r="M796" s="65"/>
      <c r="N796" s="62"/>
      <c r="O796" s="70"/>
      <c r="P796" s="64"/>
    </row>
    <row r="797" spans="1:16" x14ac:dyDescent="0.25">
      <c r="A797" s="24"/>
      <c r="L797" s="203"/>
      <c r="M797" s="65"/>
      <c r="N797" s="62"/>
      <c r="O797" s="70"/>
      <c r="P797" s="64"/>
    </row>
    <row r="798" spans="1:16" x14ac:dyDescent="0.25">
      <c r="A798" s="24"/>
      <c r="L798" s="203"/>
      <c r="M798" s="65"/>
      <c r="N798" s="62"/>
      <c r="O798" s="70"/>
      <c r="P798" s="64"/>
    </row>
    <row r="799" spans="1:16" x14ac:dyDescent="0.25">
      <c r="A799" s="24"/>
      <c r="L799" s="203"/>
      <c r="M799" s="65"/>
      <c r="N799" s="62"/>
      <c r="O799" s="70"/>
      <c r="P799" s="64"/>
    </row>
    <row r="800" spans="1:16" x14ac:dyDescent="0.25">
      <c r="A800" s="24"/>
      <c r="L800" s="203"/>
      <c r="M800" s="65"/>
      <c r="N800" s="62"/>
      <c r="O800" s="70"/>
      <c r="P800" s="64"/>
    </row>
    <row r="801" spans="1:16" x14ac:dyDescent="0.25">
      <c r="A801" s="24"/>
      <c r="L801" s="203"/>
      <c r="M801" s="65"/>
      <c r="N801" s="62"/>
      <c r="O801" s="70"/>
      <c r="P801" s="64"/>
    </row>
    <row r="802" spans="1:16" x14ac:dyDescent="0.25">
      <c r="A802" s="24"/>
      <c r="L802" s="203"/>
      <c r="M802" s="65"/>
      <c r="N802" s="62"/>
      <c r="O802" s="70"/>
      <c r="P802" s="64"/>
    </row>
    <row r="803" spans="1:16" x14ac:dyDescent="0.25">
      <c r="A803" s="24"/>
      <c r="L803" s="203"/>
      <c r="M803" s="65"/>
      <c r="N803" s="62"/>
      <c r="O803" s="70"/>
      <c r="P803" s="64"/>
    </row>
    <row r="804" spans="1:16" x14ac:dyDescent="0.25">
      <c r="A804" s="24"/>
      <c r="L804" s="203"/>
      <c r="M804" s="65"/>
      <c r="N804" s="62"/>
      <c r="O804" s="70"/>
      <c r="P804" s="64"/>
    </row>
    <row r="805" spans="1:16" x14ac:dyDescent="0.25">
      <c r="A805" s="24"/>
      <c r="L805" s="203"/>
      <c r="M805" s="65"/>
      <c r="N805" s="62"/>
      <c r="O805" s="70"/>
      <c r="P805" s="64"/>
    </row>
    <row r="806" spans="1:16" x14ac:dyDescent="0.25">
      <c r="A806" s="24"/>
      <c r="L806" s="203"/>
      <c r="M806" s="65"/>
      <c r="N806" s="62"/>
      <c r="O806" s="70"/>
      <c r="P806" s="64"/>
    </row>
    <row r="807" spans="1:16" x14ac:dyDescent="0.25">
      <c r="A807" s="24"/>
      <c r="L807" s="203"/>
      <c r="M807" s="65"/>
      <c r="N807" s="62"/>
      <c r="O807" s="70"/>
      <c r="P807" s="64"/>
    </row>
    <row r="808" spans="1:16" x14ac:dyDescent="0.25">
      <c r="A808" s="24"/>
      <c r="L808" s="203"/>
      <c r="M808" s="65"/>
      <c r="N808" s="62"/>
      <c r="O808" s="70"/>
      <c r="P808" s="64"/>
    </row>
    <row r="809" spans="1:16" x14ac:dyDescent="0.25">
      <c r="A809" s="24"/>
      <c r="L809" s="203"/>
      <c r="M809" s="65"/>
      <c r="N809" s="62"/>
      <c r="O809" s="70"/>
      <c r="P809" s="64"/>
    </row>
    <row r="810" spans="1:16" x14ac:dyDescent="0.25">
      <c r="A810" s="24"/>
      <c r="L810" s="203"/>
      <c r="M810" s="65"/>
      <c r="N810" s="62"/>
      <c r="O810" s="70"/>
      <c r="P810" s="64"/>
    </row>
    <row r="811" spans="1:16" x14ac:dyDescent="0.25">
      <c r="A811" s="24"/>
      <c r="L811" s="203"/>
      <c r="M811" s="65"/>
      <c r="N811" s="62"/>
      <c r="O811" s="70"/>
      <c r="P811" s="64"/>
    </row>
    <row r="812" spans="1:16" x14ac:dyDescent="0.25">
      <c r="A812" s="24"/>
      <c r="L812" s="203"/>
      <c r="M812" s="65"/>
      <c r="N812" s="62"/>
      <c r="O812" s="70"/>
      <c r="P812" s="64"/>
    </row>
    <row r="813" spans="1:16" x14ac:dyDescent="0.25">
      <c r="A813" s="24"/>
      <c r="L813" s="203"/>
      <c r="M813" s="65"/>
      <c r="N813" s="62"/>
      <c r="O813" s="70"/>
      <c r="P813" s="64"/>
    </row>
    <row r="814" spans="1:16" x14ac:dyDescent="0.25">
      <c r="A814" s="24"/>
      <c r="L814" s="203"/>
      <c r="M814" s="65"/>
      <c r="N814" s="62"/>
      <c r="O814" s="70"/>
      <c r="P814" s="64"/>
    </row>
    <row r="815" spans="1:16" x14ac:dyDescent="0.25">
      <c r="A815" s="24"/>
      <c r="L815" s="203"/>
      <c r="M815" s="65"/>
      <c r="N815" s="62"/>
      <c r="O815" s="70"/>
      <c r="P815" s="64"/>
    </row>
    <row r="816" spans="1:16" x14ac:dyDescent="0.25">
      <c r="A816" s="24"/>
      <c r="L816" s="203"/>
      <c r="M816" s="65"/>
      <c r="N816" s="62"/>
      <c r="O816" s="70"/>
      <c r="P816" s="64"/>
    </row>
    <row r="817" spans="1:16" x14ac:dyDescent="0.25">
      <c r="A817" s="24"/>
      <c r="L817" s="203"/>
      <c r="M817" s="65"/>
      <c r="N817" s="62"/>
      <c r="O817" s="70"/>
      <c r="P817" s="64"/>
    </row>
    <row r="818" spans="1:16" x14ac:dyDescent="0.25">
      <c r="A818" s="24"/>
      <c r="L818" s="203"/>
      <c r="M818" s="65"/>
      <c r="N818" s="62"/>
      <c r="O818" s="70"/>
      <c r="P818" s="64"/>
    </row>
    <row r="819" spans="1:16" x14ac:dyDescent="0.25">
      <c r="A819" s="24"/>
      <c r="L819" s="203"/>
      <c r="M819" s="65"/>
      <c r="N819" s="62"/>
      <c r="O819" s="70"/>
      <c r="P819" s="64"/>
    </row>
    <row r="820" spans="1:16" x14ac:dyDescent="0.25">
      <c r="A820" s="24"/>
      <c r="L820" s="203"/>
      <c r="M820" s="65"/>
      <c r="N820" s="62"/>
      <c r="O820" s="70"/>
      <c r="P820" s="64"/>
    </row>
    <row r="821" spans="1:16" x14ac:dyDescent="0.25">
      <c r="A821" s="24"/>
      <c r="L821" s="203"/>
      <c r="M821" s="65"/>
      <c r="N821" s="62"/>
      <c r="O821" s="70"/>
      <c r="P821" s="64"/>
    </row>
    <row r="822" spans="1:16" x14ac:dyDescent="0.25">
      <c r="A822" s="24"/>
      <c r="L822" s="203"/>
      <c r="M822" s="65"/>
      <c r="N822" s="62"/>
      <c r="O822" s="70"/>
      <c r="P822" s="64"/>
    </row>
    <row r="823" spans="1:16" x14ac:dyDescent="0.25">
      <c r="A823" s="24"/>
      <c r="L823" s="203"/>
      <c r="M823" s="65"/>
      <c r="N823" s="62"/>
      <c r="O823" s="70"/>
      <c r="P823" s="64"/>
    </row>
    <row r="824" spans="1:16" x14ac:dyDescent="0.25">
      <c r="A824" s="24"/>
      <c r="L824" s="203"/>
      <c r="M824" s="65"/>
      <c r="N824" s="62"/>
      <c r="O824" s="70"/>
      <c r="P824" s="64"/>
    </row>
    <row r="825" spans="1:16" x14ac:dyDescent="0.25">
      <c r="A825" s="24"/>
      <c r="L825" s="203"/>
      <c r="M825" s="65"/>
      <c r="N825" s="62"/>
      <c r="O825" s="70"/>
      <c r="P825" s="64"/>
    </row>
    <row r="826" spans="1:16" x14ac:dyDescent="0.25">
      <c r="A826" s="24"/>
      <c r="L826" s="203"/>
      <c r="M826" s="65"/>
      <c r="N826" s="62"/>
      <c r="O826" s="70"/>
      <c r="P826" s="64"/>
    </row>
    <row r="827" spans="1:16" x14ac:dyDescent="0.25">
      <c r="A827" s="24"/>
      <c r="L827" s="203"/>
      <c r="M827" s="65"/>
      <c r="N827" s="62"/>
      <c r="O827" s="70"/>
      <c r="P827" s="64"/>
    </row>
    <row r="828" spans="1:16" x14ac:dyDescent="0.25">
      <c r="A828" s="24"/>
      <c r="L828" s="203"/>
      <c r="M828" s="65"/>
      <c r="N828" s="62"/>
      <c r="O828" s="70"/>
      <c r="P828" s="64"/>
    </row>
    <row r="829" spans="1:16" x14ac:dyDescent="0.25">
      <c r="A829" s="24"/>
      <c r="L829" s="203"/>
      <c r="M829" s="65"/>
      <c r="N829" s="62"/>
      <c r="O829" s="70"/>
      <c r="P829" s="64"/>
    </row>
    <row r="830" spans="1:16" x14ac:dyDescent="0.25">
      <c r="A830" s="24"/>
      <c r="L830" s="203"/>
      <c r="M830" s="65"/>
      <c r="N830" s="62"/>
      <c r="O830" s="70"/>
      <c r="P830" s="64"/>
    </row>
    <row r="831" spans="1:16" x14ac:dyDescent="0.25">
      <c r="A831" s="24"/>
      <c r="L831" s="203"/>
      <c r="M831" s="65"/>
      <c r="N831" s="62"/>
      <c r="O831" s="70"/>
      <c r="P831" s="64"/>
    </row>
    <row r="832" spans="1:16" x14ac:dyDescent="0.25">
      <c r="A832" s="24"/>
      <c r="L832" s="203"/>
      <c r="M832" s="65"/>
      <c r="N832" s="62"/>
      <c r="O832" s="70"/>
      <c r="P832" s="64"/>
    </row>
    <row r="833" spans="1:16" x14ac:dyDescent="0.25">
      <c r="A833" s="24"/>
      <c r="L833" s="203"/>
      <c r="M833" s="65"/>
      <c r="N833" s="62"/>
      <c r="O833" s="70"/>
      <c r="P833" s="64"/>
    </row>
    <row r="834" spans="1:16" x14ac:dyDescent="0.25">
      <c r="A834" s="24"/>
      <c r="L834" s="203"/>
      <c r="M834" s="65"/>
      <c r="N834" s="62"/>
      <c r="O834" s="70"/>
      <c r="P834" s="64"/>
    </row>
    <row r="835" spans="1:16" x14ac:dyDescent="0.25">
      <c r="A835" s="24"/>
      <c r="L835" s="203"/>
      <c r="M835" s="65"/>
      <c r="N835" s="62"/>
      <c r="O835" s="70"/>
      <c r="P835" s="64"/>
    </row>
    <row r="836" spans="1:16" x14ac:dyDescent="0.25">
      <c r="A836" s="24"/>
      <c r="L836" s="203"/>
      <c r="M836" s="65"/>
      <c r="N836" s="62"/>
      <c r="O836" s="70"/>
      <c r="P836" s="64"/>
    </row>
    <row r="837" spans="1:16" x14ac:dyDescent="0.25">
      <c r="A837" s="24"/>
      <c r="L837" s="203"/>
      <c r="M837" s="65"/>
      <c r="N837" s="62"/>
      <c r="O837" s="70"/>
      <c r="P837" s="64"/>
    </row>
    <row r="838" spans="1:16" x14ac:dyDescent="0.25">
      <c r="A838" s="24"/>
      <c r="L838" s="203"/>
      <c r="M838" s="65"/>
      <c r="N838" s="62"/>
      <c r="O838" s="70"/>
      <c r="P838" s="64"/>
    </row>
    <row r="839" spans="1:16" x14ac:dyDescent="0.25">
      <c r="A839" s="24"/>
      <c r="L839" s="203"/>
      <c r="M839" s="65"/>
      <c r="N839" s="62"/>
      <c r="O839" s="70"/>
      <c r="P839" s="64"/>
    </row>
    <row r="840" spans="1:16" x14ac:dyDescent="0.25">
      <c r="A840" s="24"/>
      <c r="L840" s="203"/>
      <c r="M840" s="65"/>
      <c r="N840" s="62"/>
      <c r="O840" s="70"/>
      <c r="P840" s="64"/>
    </row>
    <row r="841" spans="1:16" x14ac:dyDescent="0.25">
      <c r="A841" s="24"/>
      <c r="L841" s="203"/>
      <c r="M841" s="65"/>
      <c r="N841" s="62"/>
      <c r="O841" s="70"/>
      <c r="P841" s="64"/>
    </row>
    <row r="842" spans="1:16" x14ac:dyDescent="0.25">
      <c r="A842" s="24"/>
      <c r="L842" s="203"/>
      <c r="M842" s="65"/>
      <c r="N842" s="62"/>
      <c r="O842" s="70"/>
      <c r="P842" s="64"/>
    </row>
    <row r="843" spans="1:16" x14ac:dyDescent="0.25">
      <c r="A843" s="24"/>
      <c r="L843" s="203"/>
      <c r="M843" s="65"/>
      <c r="N843" s="62"/>
      <c r="O843" s="70"/>
      <c r="P843" s="64"/>
    </row>
    <row r="844" spans="1:16" x14ac:dyDescent="0.25">
      <c r="A844" s="24"/>
      <c r="L844" s="203"/>
      <c r="M844" s="65"/>
      <c r="N844" s="62"/>
      <c r="O844" s="70"/>
      <c r="P844" s="64"/>
    </row>
    <row r="845" spans="1:16" x14ac:dyDescent="0.25">
      <c r="A845" s="24"/>
      <c r="L845" s="203"/>
      <c r="M845" s="65"/>
      <c r="N845" s="62"/>
      <c r="O845" s="70"/>
      <c r="P845" s="64"/>
    </row>
    <row r="846" spans="1:16" x14ac:dyDescent="0.25">
      <c r="A846" s="24"/>
      <c r="L846" s="203"/>
      <c r="M846" s="65"/>
      <c r="N846" s="62"/>
      <c r="O846" s="70"/>
      <c r="P846" s="64"/>
    </row>
    <row r="847" spans="1:16" x14ac:dyDescent="0.25">
      <c r="A847" s="24"/>
      <c r="L847" s="203"/>
      <c r="M847" s="65"/>
      <c r="N847" s="62"/>
      <c r="O847" s="70"/>
      <c r="P847" s="64"/>
    </row>
    <row r="848" spans="1:16" x14ac:dyDescent="0.25">
      <c r="A848" s="24"/>
      <c r="L848" s="203"/>
      <c r="M848" s="65"/>
      <c r="N848" s="62"/>
      <c r="O848" s="70"/>
      <c r="P848" s="64"/>
    </row>
    <row r="849" spans="1:16" x14ac:dyDescent="0.25">
      <c r="A849" s="24"/>
      <c r="L849" s="203"/>
      <c r="M849" s="65"/>
      <c r="N849" s="62"/>
      <c r="O849" s="70"/>
      <c r="P849" s="64"/>
    </row>
    <row r="850" spans="1:16" x14ac:dyDescent="0.25">
      <c r="A850" s="24"/>
      <c r="L850" s="203"/>
      <c r="M850" s="65"/>
      <c r="N850" s="62"/>
      <c r="O850" s="70"/>
      <c r="P850" s="64"/>
    </row>
    <row r="851" spans="1:16" x14ac:dyDescent="0.25">
      <c r="A851" s="24"/>
      <c r="L851" s="203"/>
      <c r="M851" s="65"/>
      <c r="N851" s="62"/>
      <c r="O851" s="70"/>
      <c r="P851" s="64"/>
    </row>
    <row r="852" spans="1:16" x14ac:dyDescent="0.25">
      <c r="A852" s="24"/>
      <c r="L852" s="203"/>
      <c r="M852" s="65"/>
      <c r="N852" s="62"/>
      <c r="O852" s="70"/>
      <c r="P852" s="64"/>
    </row>
    <row r="853" spans="1:16" x14ac:dyDescent="0.25">
      <c r="A853" s="24"/>
      <c r="L853" s="203"/>
      <c r="M853" s="65"/>
      <c r="N853" s="62"/>
      <c r="O853" s="70"/>
      <c r="P853" s="64"/>
    </row>
    <row r="854" spans="1:16" x14ac:dyDescent="0.25">
      <c r="A854" s="24"/>
      <c r="L854" s="203"/>
      <c r="M854" s="65"/>
      <c r="N854" s="62"/>
      <c r="O854" s="70"/>
      <c r="P854" s="64"/>
    </row>
    <row r="855" spans="1:16" x14ac:dyDescent="0.25">
      <c r="A855" s="24"/>
      <c r="L855" s="203"/>
      <c r="M855" s="65"/>
      <c r="N855" s="62"/>
      <c r="O855" s="70"/>
      <c r="P855" s="64"/>
    </row>
    <row r="856" spans="1:16" x14ac:dyDescent="0.25">
      <c r="A856" s="24"/>
      <c r="L856" s="203"/>
      <c r="M856" s="65"/>
      <c r="N856" s="62"/>
      <c r="O856" s="70"/>
      <c r="P856" s="64"/>
    </row>
    <row r="857" spans="1:16" x14ac:dyDescent="0.25">
      <c r="A857" s="24"/>
      <c r="L857" s="203"/>
      <c r="M857" s="65"/>
      <c r="N857" s="62"/>
      <c r="O857" s="70"/>
      <c r="P857" s="64"/>
    </row>
    <row r="858" spans="1:16" x14ac:dyDescent="0.25">
      <c r="A858" s="24"/>
      <c r="L858" s="203"/>
      <c r="M858" s="65"/>
      <c r="N858" s="62"/>
      <c r="O858" s="70"/>
      <c r="P858" s="64"/>
    </row>
    <row r="859" spans="1:16" x14ac:dyDescent="0.25">
      <c r="A859" s="24"/>
      <c r="L859" s="203"/>
      <c r="M859" s="65"/>
      <c r="N859" s="62"/>
      <c r="O859" s="70"/>
      <c r="P859" s="64"/>
    </row>
    <row r="860" spans="1:16" x14ac:dyDescent="0.25">
      <c r="A860" s="24"/>
      <c r="L860" s="203"/>
      <c r="M860" s="65"/>
      <c r="N860" s="62"/>
      <c r="O860" s="70"/>
      <c r="P860" s="64"/>
    </row>
    <row r="861" spans="1:16" x14ac:dyDescent="0.25">
      <c r="A861" s="24"/>
      <c r="L861" s="203"/>
      <c r="M861" s="65"/>
      <c r="N861" s="62"/>
      <c r="O861" s="70"/>
      <c r="P861" s="64"/>
    </row>
    <row r="862" spans="1:16" x14ac:dyDescent="0.25">
      <c r="A862" s="24"/>
      <c r="L862" s="203"/>
      <c r="M862" s="65"/>
      <c r="N862" s="62"/>
      <c r="O862" s="70"/>
      <c r="P862" s="64"/>
    </row>
    <row r="863" spans="1:16" x14ac:dyDescent="0.25">
      <c r="A863" s="24"/>
      <c r="L863" s="203"/>
      <c r="M863" s="65"/>
      <c r="N863" s="62"/>
      <c r="O863" s="70"/>
      <c r="P863" s="64"/>
    </row>
    <row r="864" spans="1:16" x14ac:dyDescent="0.25">
      <c r="A864" s="24"/>
      <c r="L864" s="203"/>
      <c r="M864" s="65"/>
      <c r="N864" s="62"/>
      <c r="O864" s="70"/>
      <c r="P864" s="64"/>
    </row>
    <row r="865" spans="1:16" x14ac:dyDescent="0.25">
      <c r="A865" s="24"/>
      <c r="L865" s="203"/>
      <c r="M865" s="65"/>
      <c r="N865" s="62"/>
      <c r="O865" s="70"/>
      <c r="P865" s="64"/>
    </row>
    <row r="866" spans="1:16" x14ac:dyDescent="0.25">
      <c r="A866" s="24"/>
      <c r="L866" s="203"/>
      <c r="M866" s="65"/>
      <c r="N866" s="62"/>
      <c r="O866" s="70"/>
      <c r="P866" s="64"/>
    </row>
    <row r="867" spans="1:16" x14ac:dyDescent="0.25">
      <c r="A867" s="24"/>
      <c r="L867" s="203"/>
      <c r="M867" s="65"/>
      <c r="N867" s="62"/>
      <c r="O867" s="70"/>
      <c r="P867" s="64"/>
    </row>
    <row r="868" spans="1:16" x14ac:dyDescent="0.25">
      <c r="A868" s="24"/>
      <c r="L868" s="203"/>
      <c r="M868" s="65"/>
      <c r="N868" s="62"/>
      <c r="O868" s="70"/>
      <c r="P868" s="64"/>
    </row>
    <row r="869" spans="1:16" x14ac:dyDescent="0.25">
      <c r="A869" s="24"/>
      <c r="L869" s="203"/>
      <c r="M869" s="65"/>
      <c r="N869" s="62"/>
      <c r="O869" s="70"/>
      <c r="P869" s="64"/>
    </row>
    <row r="870" spans="1:16" x14ac:dyDescent="0.25">
      <c r="A870" s="24"/>
      <c r="L870" s="203"/>
      <c r="M870" s="65"/>
      <c r="N870" s="62"/>
      <c r="O870" s="70"/>
      <c r="P870" s="64"/>
    </row>
    <row r="871" spans="1:16" x14ac:dyDescent="0.25">
      <c r="A871" s="24"/>
      <c r="L871" s="203"/>
      <c r="M871" s="65"/>
      <c r="N871" s="62"/>
      <c r="O871" s="70"/>
      <c r="P871" s="64"/>
    </row>
    <row r="872" spans="1:16" x14ac:dyDescent="0.25">
      <c r="A872" s="24"/>
      <c r="L872" s="203"/>
      <c r="M872" s="65"/>
      <c r="N872" s="62"/>
      <c r="O872" s="70"/>
      <c r="P872" s="64"/>
    </row>
    <row r="873" spans="1:16" x14ac:dyDescent="0.25">
      <c r="A873" s="24"/>
      <c r="L873" s="203"/>
      <c r="M873" s="65"/>
      <c r="N873" s="62"/>
      <c r="O873" s="70"/>
      <c r="P873" s="64"/>
    </row>
    <row r="874" spans="1:16" x14ac:dyDescent="0.25">
      <c r="A874" s="24"/>
      <c r="L874" s="203"/>
      <c r="M874" s="65"/>
      <c r="N874" s="62"/>
      <c r="O874" s="70"/>
      <c r="P874" s="64"/>
    </row>
    <row r="875" spans="1:16" x14ac:dyDescent="0.25">
      <c r="A875" s="24"/>
      <c r="L875" s="203"/>
      <c r="M875" s="65"/>
      <c r="N875" s="62"/>
      <c r="O875" s="70"/>
      <c r="P875" s="64"/>
    </row>
    <row r="876" spans="1:16" x14ac:dyDescent="0.25">
      <c r="A876" s="24"/>
      <c r="L876" s="203"/>
      <c r="M876" s="65"/>
      <c r="N876" s="62"/>
      <c r="O876" s="70"/>
      <c r="P876" s="64"/>
    </row>
    <row r="877" spans="1:16" x14ac:dyDescent="0.25">
      <c r="A877" s="24"/>
      <c r="L877" s="203"/>
      <c r="M877" s="65"/>
      <c r="N877" s="62"/>
      <c r="O877" s="70"/>
      <c r="P877" s="64"/>
    </row>
    <row r="878" spans="1:16" x14ac:dyDescent="0.25">
      <c r="A878" s="24"/>
      <c r="L878" s="203"/>
      <c r="M878" s="65"/>
      <c r="N878" s="62"/>
      <c r="O878" s="70"/>
      <c r="P878" s="64"/>
    </row>
    <row r="879" spans="1:16" x14ac:dyDescent="0.25">
      <c r="A879" s="24"/>
      <c r="L879" s="203"/>
      <c r="M879" s="65"/>
      <c r="N879" s="62"/>
      <c r="O879" s="70"/>
      <c r="P879" s="64"/>
    </row>
    <row r="880" spans="1:16" x14ac:dyDescent="0.25">
      <c r="A880" s="24"/>
      <c r="L880" s="203"/>
      <c r="M880" s="65"/>
      <c r="N880" s="62"/>
      <c r="O880" s="70"/>
      <c r="P880" s="64"/>
    </row>
    <row r="881" spans="1:16" x14ac:dyDescent="0.25">
      <c r="A881" s="24"/>
      <c r="L881" s="203"/>
      <c r="M881" s="65"/>
      <c r="N881" s="62"/>
      <c r="O881" s="70"/>
      <c r="P881" s="64"/>
    </row>
    <row r="882" spans="1:16" x14ac:dyDescent="0.25">
      <c r="A882" s="24"/>
      <c r="L882" s="203"/>
      <c r="M882" s="65"/>
      <c r="N882" s="62"/>
      <c r="O882" s="70"/>
      <c r="P882" s="64"/>
    </row>
    <row r="883" spans="1:16" x14ac:dyDescent="0.25">
      <c r="A883" s="24"/>
      <c r="L883" s="203"/>
      <c r="M883" s="65"/>
      <c r="N883" s="62"/>
      <c r="O883" s="70"/>
      <c r="P883" s="64"/>
    </row>
    <row r="884" spans="1:16" x14ac:dyDescent="0.25">
      <c r="A884" s="24"/>
      <c r="L884" s="203"/>
      <c r="M884" s="65"/>
      <c r="N884" s="62"/>
      <c r="O884" s="70"/>
      <c r="P884" s="64"/>
    </row>
    <row r="885" spans="1:16" x14ac:dyDescent="0.25">
      <c r="A885" s="24"/>
      <c r="L885" s="203"/>
      <c r="M885" s="65"/>
      <c r="N885" s="62"/>
      <c r="O885" s="70"/>
      <c r="P885" s="64"/>
    </row>
    <row r="886" spans="1:16" x14ac:dyDescent="0.25">
      <c r="A886" s="24"/>
      <c r="L886" s="203"/>
      <c r="M886" s="65"/>
      <c r="N886" s="62"/>
      <c r="O886" s="70"/>
      <c r="P886" s="64"/>
    </row>
    <row r="887" spans="1:16" x14ac:dyDescent="0.25">
      <c r="A887" s="24"/>
      <c r="L887" s="203"/>
      <c r="M887" s="65"/>
      <c r="N887" s="62"/>
      <c r="O887" s="70"/>
      <c r="P887" s="64"/>
    </row>
    <row r="888" spans="1:16" x14ac:dyDescent="0.25">
      <c r="A888" s="24"/>
      <c r="L888" s="203"/>
      <c r="M888" s="65"/>
      <c r="N888" s="62"/>
      <c r="O888" s="70"/>
      <c r="P888" s="64"/>
    </row>
    <row r="889" spans="1:16" x14ac:dyDescent="0.25">
      <c r="A889" s="24"/>
      <c r="L889" s="203"/>
      <c r="M889" s="65"/>
      <c r="N889" s="62"/>
      <c r="O889" s="70"/>
      <c r="P889" s="64"/>
    </row>
    <row r="890" spans="1:16" x14ac:dyDescent="0.25">
      <c r="A890" s="24"/>
      <c r="L890" s="203"/>
      <c r="M890" s="65"/>
      <c r="N890" s="62"/>
      <c r="O890" s="70"/>
      <c r="P890" s="64"/>
    </row>
    <row r="891" spans="1:16" x14ac:dyDescent="0.25">
      <c r="A891" s="24"/>
      <c r="L891" s="203"/>
      <c r="M891" s="65"/>
      <c r="N891" s="62"/>
      <c r="O891" s="70"/>
      <c r="P891" s="64"/>
    </row>
    <row r="892" spans="1:16" x14ac:dyDescent="0.25">
      <c r="A892" s="24"/>
      <c r="L892" s="203"/>
      <c r="M892" s="65"/>
      <c r="N892" s="62"/>
      <c r="O892" s="70"/>
      <c r="P892" s="64"/>
    </row>
    <row r="893" spans="1:16" x14ac:dyDescent="0.25">
      <c r="A893" s="24"/>
      <c r="L893" s="203"/>
      <c r="M893" s="65"/>
      <c r="N893" s="62"/>
      <c r="O893" s="70"/>
      <c r="P893" s="64"/>
    </row>
    <row r="894" spans="1:16" x14ac:dyDescent="0.25">
      <c r="A894" s="24"/>
      <c r="L894" s="203"/>
      <c r="M894" s="65"/>
      <c r="N894" s="62"/>
      <c r="O894" s="70"/>
      <c r="P894" s="64"/>
    </row>
    <row r="895" spans="1:16" x14ac:dyDescent="0.25">
      <c r="A895" s="24"/>
      <c r="L895" s="203"/>
      <c r="M895" s="65"/>
      <c r="N895" s="62"/>
      <c r="O895" s="70"/>
      <c r="P895" s="64"/>
    </row>
    <row r="896" spans="1:16" x14ac:dyDescent="0.25">
      <c r="A896" s="24"/>
      <c r="L896" s="203"/>
      <c r="M896" s="65"/>
      <c r="N896" s="62"/>
      <c r="O896" s="70"/>
      <c r="P896" s="64"/>
    </row>
    <row r="897" spans="1:16" x14ac:dyDescent="0.25">
      <c r="A897" s="24"/>
      <c r="L897" s="203"/>
      <c r="M897" s="65"/>
      <c r="N897" s="62"/>
      <c r="O897" s="70"/>
      <c r="P897" s="64"/>
    </row>
    <row r="898" spans="1:16" x14ac:dyDescent="0.25">
      <c r="A898" s="24"/>
      <c r="L898" s="203"/>
      <c r="M898" s="65"/>
      <c r="N898" s="62"/>
      <c r="O898" s="70"/>
      <c r="P898" s="64"/>
    </row>
    <row r="899" spans="1:16" x14ac:dyDescent="0.25">
      <c r="A899" s="24"/>
      <c r="L899" s="203"/>
      <c r="M899" s="65"/>
      <c r="N899" s="62"/>
      <c r="O899" s="70"/>
      <c r="P899" s="64"/>
    </row>
    <row r="900" spans="1:16" x14ac:dyDescent="0.25">
      <c r="A900" s="24"/>
      <c r="L900" s="203"/>
      <c r="M900" s="65"/>
      <c r="N900" s="62"/>
      <c r="O900" s="70"/>
      <c r="P900" s="64"/>
    </row>
    <row r="901" spans="1:16" x14ac:dyDescent="0.25">
      <c r="A901" s="24"/>
      <c r="L901" s="203"/>
      <c r="M901" s="65"/>
      <c r="N901" s="62"/>
      <c r="O901" s="70"/>
      <c r="P901" s="64"/>
    </row>
    <row r="902" spans="1:16" x14ac:dyDescent="0.25">
      <c r="A902" s="24"/>
      <c r="L902" s="203"/>
      <c r="M902" s="65"/>
      <c r="N902" s="62"/>
      <c r="O902" s="70"/>
      <c r="P902" s="64"/>
    </row>
    <row r="903" spans="1:16" x14ac:dyDescent="0.25">
      <c r="A903" s="24"/>
      <c r="L903" s="203"/>
      <c r="M903" s="65"/>
      <c r="N903" s="62"/>
      <c r="O903" s="70"/>
      <c r="P903" s="64"/>
    </row>
    <row r="904" spans="1:16" x14ac:dyDescent="0.25">
      <c r="A904" s="24"/>
      <c r="L904" s="203"/>
      <c r="M904" s="65"/>
      <c r="N904" s="62"/>
      <c r="O904" s="70"/>
      <c r="P904" s="64"/>
    </row>
    <row r="905" spans="1:16" x14ac:dyDescent="0.25">
      <c r="A905" s="24"/>
      <c r="L905" s="203"/>
      <c r="M905" s="65"/>
      <c r="N905" s="62"/>
      <c r="O905" s="70"/>
      <c r="P905" s="64"/>
    </row>
    <row r="906" spans="1:16" x14ac:dyDescent="0.25">
      <c r="A906" s="24"/>
      <c r="L906" s="203"/>
      <c r="M906" s="65"/>
      <c r="N906" s="62"/>
      <c r="O906" s="70"/>
      <c r="P906" s="64"/>
    </row>
    <row r="907" spans="1:16" x14ac:dyDescent="0.25">
      <c r="A907" s="24"/>
      <c r="L907" s="177"/>
      <c r="M907" s="61"/>
      <c r="P907" s="201"/>
    </row>
    <row r="908" spans="1:16" x14ac:dyDescent="0.25">
      <c r="A908" s="24"/>
      <c r="L908" s="177"/>
      <c r="M908" s="61"/>
      <c r="P908" s="201"/>
    </row>
    <row r="909" spans="1:16" x14ac:dyDescent="0.25">
      <c r="A909" s="24"/>
      <c r="L909" s="177"/>
      <c r="M909" s="61"/>
      <c r="P909" s="201"/>
    </row>
    <row r="910" spans="1:16" x14ac:dyDescent="0.25">
      <c r="A910" s="24"/>
      <c r="L910" s="177"/>
      <c r="M910" s="61"/>
      <c r="P910" s="201"/>
    </row>
    <row r="911" spans="1:16" x14ac:dyDescent="0.25">
      <c r="A911" s="24"/>
      <c r="L911" s="177"/>
      <c r="M911" s="61"/>
      <c r="P911" s="201"/>
    </row>
    <row r="912" spans="1:16" x14ac:dyDescent="0.25">
      <c r="A912" s="24"/>
      <c r="L912" s="177"/>
      <c r="M912" s="61"/>
      <c r="P912" s="201"/>
    </row>
    <row r="913" spans="1:16" x14ac:dyDescent="0.25">
      <c r="A913" s="24"/>
      <c r="L913" s="177"/>
      <c r="M913" s="61"/>
      <c r="P913" s="201"/>
    </row>
    <row r="914" spans="1:16" x14ac:dyDescent="0.25">
      <c r="A914" s="24"/>
      <c r="L914" s="177"/>
      <c r="M914" s="61"/>
      <c r="P914" s="201"/>
    </row>
    <row r="915" spans="1:16" x14ac:dyDescent="0.25">
      <c r="A915" s="24"/>
      <c r="L915" s="177"/>
      <c r="M915" s="61"/>
      <c r="P915" s="201"/>
    </row>
    <row r="916" spans="1:16" x14ac:dyDescent="0.25">
      <c r="A916" s="24"/>
      <c r="L916" s="177"/>
      <c r="M916" s="61"/>
      <c r="P916" s="201"/>
    </row>
    <row r="917" spans="1:16" x14ac:dyDescent="0.25">
      <c r="A917" s="24"/>
      <c r="L917" s="177"/>
      <c r="M917" s="61"/>
      <c r="P917" s="201"/>
    </row>
    <row r="918" spans="1:16" x14ac:dyDescent="0.25">
      <c r="A918" s="24"/>
      <c r="L918" s="177"/>
      <c r="M918" s="61"/>
      <c r="P918" s="201"/>
    </row>
    <row r="919" spans="1:16" x14ac:dyDescent="0.25">
      <c r="A919" s="24"/>
      <c r="L919" s="177"/>
      <c r="M919" s="61"/>
      <c r="P919" s="201"/>
    </row>
    <row r="920" spans="1:16" x14ac:dyDescent="0.25">
      <c r="A920" s="24"/>
      <c r="L920" s="177"/>
      <c r="M920" s="61"/>
      <c r="P920" s="201"/>
    </row>
    <row r="921" spans="1:16" x14ac:dyDescent="0.25">
      <c r="A921" s="24"/>
      <c r="L921" s="177"/>
      <c r="M921" s="61"/>
      <c r="P921" s="201"/>
    </row>
    <row r="922" spans="1:16" x14ac:dyDescent="0.25">
      <c r="A922" s="24"/>
      <c r="L922" s="177"/>
      <c r="M922" s="61"/>
      <c r="P922" s="201"/>
    </row>
    <row r="923" spans="1:16" x14ac:dyDescent="0.25">
      <c r="A923" s="24"/>
      <c r="L923" s="177"/>
      <c r="M923" s="61"/>
      <c r="P923" s="201"/>
    </row>
    <row r="924" spans="1:16" x14ac:dyDescent="0.25">
      <c r="A924" s="24"/>
      <c r="L924" s="177"/>
      <c r="M924" s="61"/>
      <c r="P924" s="201"/>
    </row>
    <row r="925" spans="1:16" x14ac:dyDescent="0.25">
      <c r="A925" s="24"/>
      <c r="L925" s="177"/>
      <c r="M925" s="61"/>
      <c r="P925" s="201"/>
    </row>
    <row r="926" spans="1:16" x14ac:dyDescent="0.25">
      <c r="A926" s="24"/>
      <c r="L926" s="177"/>
      <c r="M926" s="61"/>
      <c r="P926" s="201"/>
    </row>
    <row r="927" spans="1:16" x14ac:dyDescent="0.25">
      <c r="A927" s="24"/>
      <c r="L927" s="177"/>
      <c r="M927" s="61"/>
      <c r="P927" s="201"/>
    </row>
    <row r="928" spans="1:16" x14ac:dyDescent="0.25">
      <c r="A928" s="24"/>
      <c r="L928" s="177"/>
      <c r="M928" s="61"/>
      <c r="P928" s="201"/>
    </row>
    <row r="929" spans="1:16" x14ac:dyDescent="0.25">
      <c r="A929" s="24"/>
      <c r="L929" s="177"/>
      <c r="M929" s="61"/>
      <c r="P929" s="201"/>
    </row>
    <row r="930" spans="1:16" x14ac:dyDescent="0.25">
      <c r="A930" s="24"/>
      <c r="L930" s="177"/>
      <c r="M930" s="61"/>
      <c r="P930" s="201"/>
    </row>
    <row r="931" spans="1:16" x14ac:dyDescent="0.25">
      <c r="A931" s="24"/>
      <c r="L931" s="177"/>
      <c r="M931" s="61"/>
      <c r="P931" s="201"/>
    </row>
    <row r="932" spans="1:16" x14ac:dyDescent="0.25">
      <c r="A932" s="24"/>
      <c r="L932" s="177"/>
      <c r="M932" s="61"/>
      <c r="P932" s="201"/>
    </row>
    <row r="933" spans="1:16" x14ac:dyDescent="0.25">
      <c r="A933" s="24"/>
      <c r="L933" s="177"/>
      <c r="M933" s="61"/>
      <c r="P933" s="201"/>
    </row>
    <row r="934" spans="1:16" x14ac:dyDescent="0.25">
      <c r="A934" s="24"/>
      <c r="L934" s="177"/>
      <c r="M934" s="61"/>
      <c r="P934" s="201"/>
    </row>
    <row r="935" spans="1:16" x14ac:dyDescent="0.25">
      <c r="A935" s="24"/>
      <c r="L935" s="177"/>
      <c r="M935" s="61"/>
      <c r="P935" s="201"/>
    </row>
    <row r="936" spans="1:16" x14ac:dyDescent="0.25">
      <c r="A936" s="24"/>
      <c r="L936" s="177"/>
      <c r="M936" s="61"/>
      <c r="P936" s="201"/>
    </row>
    <row r="937" spans="1:16" x14ac:dyDescent="0.25">
      <c r="A937" s="24"/>
      <c r="L937" s="177"/>
      <c r="M937" s="61"/>
      <c r="P937" s="201"/>
    </row>
    <row r="938" spans="1:16" x14ac:dyDescent="0.25">
      <c r="A938" s="24"/>
      <c r="L938" s="177"/>
      <c r="M938" s="61"/>
      <c r="P938" s="201"/>
    </row>
    <row r="939" spans="1:16" x14ac:dyDescent="0.25">
      <c r="A939" s="24"/>
      <c r="L939" s="177"/>
      <c r="M939" s="61"/>
      <c r="P939" s="201"/>
    </row>
    <row r="940" spans="1:16" x14ac:dyDescent="0.25">
      <c r="A940" s="24"/>
      <c r="L940" s="177"/>
      <c r="M940" s="61"/>
      <c r="P940" s="201"/>
    </row>
    <row r="941" spans="1:16" x14ac:dyDescent="0.25">
      <c r="A941" s="24"/>
      <c r="L941" s="177"/>
      <c r="M941" s="61"/>
      <c r="P941" s="201"/>
    </row>
    <row r="942" spans="1:16" x14ac:dyDescent="0.25">
      <c r="A942" s="24"/>
      <c r="L942" s="177"/>
      <c r="M942" s="61"/>
      <c r="P942" s="201"/>
    </row>
    <row r="943" spans="1:16" x14ac:dyDescent="0.25">
      <c r="A943" s="24"/>
      <c r="L943" s="177"/>
      <c r="M943" s="61"/>
      <c r="P943" s="201"/>
    </row>
    <row r="944" spans="1:16" x14ac:dyDescent="0.25">
      <c r="A944" s="24"/>
      <c r="L944" s="177"/>
      <c r="M944" s="61"/>
      <c r="P944" s="201"/>
    </row>
    <row r="945" spans="1:16" x14ac:dyDescent="0.25">
      <c r="A945" s="24"/>
      <c r="L945" s="177"/>
      <c r="M945" s="61"/>
      <c r="P945" s="201"/>
    </row>
    <row r="946" spans="1:16" x14ac:dyDescent="0.25">
      <c r="A946" s="24"/>
      <c r="L946" s="177"/>
      <c r="M946" s="61"/>
      <c r="P946" s="201"/>
    </row>
    <row r="947" spans="1:16" x14ac:dyDescent="0.25">
      <c r="A947" s="24"/>
      <c r="L947" s="177"/>
      <c r="M947" s="61"/>
      <c r="P947" s="201"/>
    </row>
    <row r="948" spans="1:16" x14ac:dyDescent="0.25">
      <c r="A948" s="24"/>
      <c r="L948" s="177"/>
      <c r="M948" s="61"/>
      <c r="P948" s="201"/>
    </row>
    <row r="949" spans="1:16" x14ac:dyDescent="0.25">
      <c r="A949" s="24"/>
      <c r="L949" s="177"/>
      <c r="M949" s="61"/>
      <c r="P949" s="201"/>
    </row>
    <row r="950" spans="1:16" x14ac:dyDescent="0.25">
      <c r="A950" s="24"/>
      <c r="L950" s="177"/>
      <c r="M950" s="61"/>
      <c r="P950" s="201"/>
    </row>
    <row r="951" spans="1:16" x14ac:dyDescent="0.25">
      <c r="A951" s="24"/>
      <c r="L951" s="177"/>
      <c r="M951" s="61"/>
      <c r="P951" s="201"/>
    </row>
    <row r="952" spans="1:16" x14ac:dyDescent="0.25">
      <c r="A952" s="24"/>
      <c r="L952" s="177"/>
      <c r="M952" s="61"/>
      <c r="P952" s="201"/>
    </row>
    <row r="953" spans="1:16" x14ac:dyDescent="0.25">
      <c r="A953" s="24"/>
      <c r="L953" s="177"/>
      <c r="M953" s="61"/>
      <c r="P953" s="201"/>
    </row>
    <row r="954" spans="1:16" x14ac:dyDescent="0.25">
      <c r="A954" s="24"/>
      <c r="L954" s="177"/>
      <c r="M954" s="61"/>
      <c r="P954" s="201"/>
    </row>
    <row r="955" spans="1:16" x14ac:dyDescent="0.25">
      <c r="A955" s="24"/>
      <c r="L955" s="177"/>
      <c r="M955" s="61"/>
      <c r="P955" s="201"/>
    </row>
    <row r="956" spans="1:16" x14ac:dyDescent="0.25">
      <c r="A956" s="24"/>
      <c r="L956" s="177"/>
      <c r="M956" s="61"/>
      <c r="P956" s="201"/>
    </row>
    <row r="957" spans="1:16" x14ac:dyDescent="0.25">
      <c r="A957" s="24"/>
      <c r="L957" s="177"/>
      <c r="M957" s="61"/>
      <c r="P957" s="201"/>
    </row>
    <row r="958" spans="1:16" x14ac:dyDescent="0.25">
      <c r="A958" s="24"/>
      <c r="L958" s="177"/>
      <c r="M958" s="61"/>
      <c r="P958" s="201"/>
    </row>
    <row r="959" spans="1:16" x14ac:dyDescent="0.25">
      <c r="A959" s="24"/>
      <c r="L959" s="177"/>
      <c r="M959" s="61"/>
      <c r="P959" s="201"/>
    </row>
    <row r="960" spans="1:16" x14ac:dyDescent="0.25">
      <c r="A960" s="24"/>
      <c r="L960" s="177"/>
      <c r="M960" s="61"/>
      <c r="P960" s="201"/>
    </row>
    <row r="961" spans="1:16" x14ac:dyDescent="0.25">
      <c r="A961" s="24"/>
      <c r="L961" s="177"/>
      <c r="M961" s="61"/>
      <c r="P961" s="201"/>
    </row>
    <row r="962" spans="1:16" x14ac:dyDescent="0.25">
      <c r="A962" s="24"/>
      <c r="L962" s="177"/>
      <c r="M962" s="61"/>
      <c r="P962" s="201"/>
    </row>
    <row r="963" spans="1:16" x14ac:dyDescent="0.25">
      <c r="A963" s="24"/>
      <c r="L963" s="177"/>
      <c r="M963" s="61"/>
      <c r="P963" s="201"/>
    </row>
    <row r="964" spans="1:16" x14ac:dyDescent="0.25">
      <c r="A964" s="24"/>
      <c r="L964" s="177"/>
      <c r="M964" s="61"/>
      <c r="P964" s="201"/>
    </row>
    <row r="965" spans="1:16" x14ac:dyDescent="0.25">
      <c r="A965" s="24"/>
      <c r="L965" s="177"/>
      <c r="M965" s="61"/>
      <c r="P965" s="201"/>
    </row>
    <row r="966" spans="1:16" x14ac:dyDescent="0.25">
      <c r="A966" s="24"/>
      <c r="L966" s="177"/>
      <c r="M966" s="61"/>
      <c r="P966" s="201"/>
    </row>
    <row r="967" spans="1:16" x14ac:dyDescent="0.25">
      <c r="A967" s="24"/>
      <c r="L967" s="177"/>
      <c r="M967" s="61"/>
      <c r="P967" s="201"/>
    </row>
    <row r="968" spans="1:16" x14ac:dyDescent="0.25">
      <c r="A968" s="24"/>
      <c r="L968" s="177"/>
      <c r="M968" s="61"/>
      <c r="P968" s="201"/>
    </row>
    <row r="969" spans="1:16" x14ac:dyDescent="0.25">
      <c r="A969" s="24"/>
      <c r="L969" s="177"/>
      <c r="M969" s="61"/>
      <c r="P969" s="201"/>
    </row>
    <row r="970" spans="1:16" x14ac:dyDescent="0.25">
      <c r="A970" s="24"/>
      <c r="L970" s="177"/>
      <c r="M970" s="61"/>
      <c r="P970" s="201"/>
    </row>
    <row r="971" spans="1:16" x14ac:dyDescent="0.25">
      <c r="A971" s="24"/>
      <c r="L971" s="177"/>
      <c r="M971" s="61"/>
      <c r="P971" s="201"/>
    </row>
    <row r="972" spans="1:16" x14ac:dyDescent="0.25">
      <c r="A972" s="24"/>
      <c r="L972" s="177"/>
      <c r="M972" s="61"/>
      <c r="P972" s="201"/>
    </row>
    <row r="973" spans="1:16" x14ac:dyDescent="0.25">
      <c r="A973" s="24"/>
      <c r="L973" s="177"/>
      <c r="M973" s="61"/>
      <c r="P973" s="201"/>
    </row>
    <row r="974" spans="1:16" x14ac:dyDescent="0.25">
      <c r="A974" s="24"/>
      <c r="L974" s="177"/>
      <c r="M974" s="61"/>
      <c r="P974" s="201"/>
    </row>
    <row r="975" spans="1:16" x14ac:dyDescent="0.25">
      <c r="A975" s="24"/>
      <c r="L975" s="177"/>
      <c r="M975" s="61"/>
      <c r="P975" s="201"/>
    </row>
    <row r="976" spans="1:16" x14ac:dyDescent="0.25">
      <c r="A976" s="24"/>
      <c r="L976" s="177"/>
      <c r="M976" s="61"/>
      <c r="P976" s="201"/>
    </row>
    <row r="977" spans="1:16" x14ac:dyDescent="0.25">
      <c r="A977" s="24"/>
      <c r="L977" s="177"/>
      <c r="M977" s="61"/>
      <c r="P977" s="201"/>
    </row>
    <row r="978" spans="1:16" x14ac:dyDescent="0.25">
      <c r="A978" s="24"/>
      <c r="L978" s="177"/>
      <c r="M978" s="61"/>
      <c r="P978" s="201"/>
    </row>
    <row r="979" spans="1:16" x14ac:dyDescent="0.25">
      <c r="A979" s="24"/>
      <c r="L979" s="177"/>
      <c r="M979" s="61"/>
      <c r="P979" s="201"/>
    </row>
    <row r="980" spans="1:16" x14ac:dyDescent="0.25">
      <c r="A980" s="24"/>
      <c r="L980" s="177"/>
      <c r="M980" s="61"/>
      <c r="P980" s="201"/>
    </row>
    <row r="981" spans="1:16" x14ac:dyDescent="0.25">
      <c r="A981" s="24"/>
      <c r="L981" s="177"/>
      <c r="M981" s="61"/>
      <c r="P981" s="201"/>
    </row>
    <row r="982" spans="1:16" x14ac:dyDescent="0.25">
      <c r="A982" s="24"/>
      <c r="L982" s="177"/>
      <c r="M982" s="61"/>
      <c r="P982" s="201"/>
    </row>
    <row r="983" spans="1:16" x14ac:dyDescent="0.25">
      <c r="A983" s="24"/>
      <c r="L983" s="177"/>
      <c r="M983" s="61"/>
      <c r="P983" s="201"/>
    </row>
  </sheetData>
  <phoneticPr fontId="2" type="noConversion"/>
  <printOptions headings="1" gridLines="1"/>
  <pageMargins left="0.25" right="0.25" top="0.25" bottom="0.5" header="0.3" footer="0.3"/>
  <pageSetup scale="68" fitToHeight="0" orientation="landscape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5.140625" defaultRowHeight="15" customHeight="1" x14ac:dyDescent="0.25"/>
  <cols>
    <col min="1" max="26" width="7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5.140625" defaultRowHeight="15" customHeight="1" x14ac:dyDescent="0.25"/>
  <cols>
    <col min="1" max="26" width="7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Deborah Greene</cp:lastModifiedBy>
  <cp:lastPrinted>2018-11-13T20:09:26Z</cp:lastPrinted>
  <dcterms:created xsi:type="dcterms:W3CDTF">2016-07-05T19:15:35Z</dcterms:created>
  <dcterms:modified xsi:type="dcterms:W3CDTF">2019-04-09T19:25:22Z</dcterms:modified>
</cp:coreProperties>
</file>